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ssgov.sharepoint.com/sites/CEAD-ENGManuteno/Shared Documents/Planejamento Manutenção Predial 2023-24/Planilhas Formação de Preço e Proposta/Vai para o TR/Polo VIII/"/>
    </mc:Choice>
  </mc:AlternateContent>
  <xr:revisionPtr revIDLastSave="10" documentId="13_ncr:1_{F4E89194-A2F4-4278-BC4C-1E127D70A2CF}" xr6:coauthVersionLast="47" xr6:coauthVersionMax="47" xr10:uidLastSave="{EC33CB14-7B87-45A0-8E26-5BF9F6C4AC5A}"/>
  <bookViews>
    <workbookView xWindow="-120" yWindow="-120" windowWidth="29040" windowHeight="15720" tabRatio="879" xr2:uid="{00000000-000D-0000-FFFF-FFFF00000000}"/>
  </bookViews>
  <sheets>
    <sheet name="Valor da Contratação" sheetId="1" r:id="rId1"/>
    <sheet name="Resumo" sheetId="2" r:id="rId2"/>
    <sheet name="Equipe Técnica" sheetId="3" r:id="rId3"/>
    <sheet name="Base Caxias do Sul" sheetId="4" r:id="rId4"/>
    <sheet name="Desl. Base Caxias do Sul" sheetId="5" r:id="rId5"/>
    <sheet name="Base Novo Hamburgo" sheetId="6" r:id="rId6"/>
    <sheet name="Desl. Base Novo Hamburgo" sheetId="7" r:id="rId7"/>
    <sheet name="Custo Eng. Eletricista" sheetId="18" r:id="rId8"/>
    <sheet name="Comp. Eng. Eletricista" sheetId="19" r:id="rId9"/>
    <sheet name="Custo Oficial de Manutenção" sheetId="16" r:id="rId10"/>
    <sheet name="Comp. Oficial de Manutenção" sheetId="17" r:id="rId11"/>
    <sheet name="Comp. Veículo" sheetId="12" r:id="rId12"/>
    <sheet name="Unidades" sheetId="13" r:id="rId13"/>
    <sheet name="BDI" sheetId="14" r:id="rId14"/>
    <sheet name="Divisão Custos ISSQN" sheetId="15" r:id="rId15"/>
  </sheets>
  <definedNames>
    <definedName name="___xlnm__FilterDatabase_6" localSheetId="8">#REF!</definedName>
    <definedName name="___xlnm__FilterDatabase_6" localSheetId="10">#REF!</definedName>
    <definedName name="___xlnm__FilterDatabase_6" localSheetId="7">#REF!</definedName>
    <definedName name="___xlnm__FilterDatabase_6" localSheetId="9">#REF!</definedName>
    <definedName name="___xlnm__FilterDatabase_6">#REF!</definedName>
    <definedName name="_FilterDatabase_3" localSheetId="8">#REF!</definedName>
    <definedName name="_FilterDatabase_3" localSheetId="10">#REF!</definedName>
    <definedName name="_FilterDatabase_3" localSheetId="7">#REF!</definedName>
    <definedName name="_FilterDatabase_3" localSheetId="9">#REF!</definedName>
    <definedName name="_FilterDatabase_3">#REF!</definedName>
    <definedName name="_xlnm_Print_Area" localSheetId="3">'Base Caxias do Sul'!$B$2:$AG$21</definedName>
    <definedName name="_xlnm_Print_Area" localSheetId="5">'Base Novo Hamburgo'!$B$2:$AG$33</definedName>
    <definedName name="_xlnm_Print_Area" localSheetId="13">NA()</definedName>
    <definedName name="_xlnm_Print_Area" localSheetId="4">'Desl. Base Caxias do Sul'!$B$2:$M$30</definedName>
    <definedName name="_xlnm_Print_Area" localSheetId="6">'Desl. Base Novo Hamburgo'!$B$2:$M$64</definedName>
    <definedName name="_xlnm_Print_Area" localSheetId="2">'Equipe Técnica'!$B$2:$E$13</definedName>
    <definedName name="_xlnm_Print_Area" localSheetId="12">Unidades!$C$2:$F$19</definedName>
    <definedName name="_xlnm_Print_Area_0" localSheetId="3">'Base Caxias do Sul'!$B$2:$AG$21</definedName>
    <definedName name="_xlnm_Print_Area_0" localSheetId="5">'Base Novo Hamburgo'!$B$2:$AG$33</definedName>
    <definedName name="_xlnm_Print_Area_0" localSheetId="13">NA()</definedName>
    <definedName name="_xlnm_Print_Area_0" localSheetId="4">'Desl. Base Caxias do Sul'!$B$2:$M$30</definedName>
    <definedName name="_xlnm_Print_Area_0" localSheetId="6">'Desl. Base Novo Hamburgo'!$B$2:$M$64</definedName>
    <definedName name="_xlnm_Print_Area_0" localSheetId="2">'Equipe Técnica'!$B$2:$E$13</definedName>
    <definedName name="_xlnm_Print_Area_0" localSheetId="12">Unidades!$C$2:$F$19</definedName>
    <definedName name="_xlnm.Print_Area" localSheetId="3">'Base Caxias do Sul'!$B$2:$AW$21</definedName>
    <definedName name="_xlnm.Print_Area" localSheetId="5">'Base Novo Hamburgo'!$B$2:$AW$36</definedName>
    <definedName name="_xlnm.Print_Area" localSheetId="13">BDI!$B$1:$J$44</definedName>
    <definedName name="_xlnm.Print_Area" localSheetId="4">'Desl. Base Caxias do Sul'!$B$2:$M$30</definedName>
    <definedName name="_xlnm.Print_Area" localSheetId="6">'Desl. Base Novo Hamburgo'!$B$2:$M$64</definedName>
    <definedName name="_xlnm.Print_Area" localSheetId="2">'Equipe Técnica'!$B$2:$E$13</definedName>
    <definedName name="_xlnm.Print_Area" localSheetId="12">Unidades!$B$2:$H$19</definedName>
    <definedName name="Excel_BuiltIn__FilterDatabase_9_1" localSheetId="8">#REF!</definedName>
    <definedName name="Excel_BuiltIn__FilterDatabase_9_1" localSheetId="10">#REF!</definedName>
    <definedName name="Excel_BuiltIn__FilterDatabase_9_1" localSheetId="7">#REF!</definedName>
    <definedName name="Excel_BuiltIn__FilterDatabase_9_1" localSheetId="9">#REF!</definedName>
    <definedName name="Excel_BuiltIn__FilterDatabase_9_1">#REF!</definedName>
    <definedName name="Excel_BuiltIn_Print_Area" localSheetId="3">'Base Caxias do Sul'!$B$2:$AG$21</definedName>
    <definedName name="Excel_BuiltIn_Print_Area" localSheetId="5">'Base Novo Hamburgo'!$B$2:$AG$33</definedName>
    <definedName name="Excel_BuiltIn_Print_Area" localSheetId="13">NA()</definedName>
    <definedName name="Excel_BuiltIn_Print_Area" localSheetId="12">Unidades!$C$2:$F$19</definedName>
    <definedName name="Print_Area_0" localSheetId="3">'Base Caxias do Sul'!$B$2:$AG$22</definedName>
    <definedName name="Print_Area_0" localSheetId="5">'Base Novo Hamburgo'!$B$2:$AG$33</definedName>
    <definedName name="Print_Area_0" localSheetId="13">NA()</definedName>
    <definedName name="Print_Area_0" localSheetId="4">'Desl. Base Caxias do Sul'!$B$2:$M$30</definedName>
    <definedName name="Print_Area_0" localSheetId="6">'Desl. Base Novo Hamburgo'!$B$2:$M$64</definedName>
    <definedName name="Print_Area_0" localSheetId="2">'Equipe Técnica'!$B$2:$E$13</definedName>
    <definedName name="Print_Area_0" localSheetId="12">Unidades!$C$2:$F$19</definedName>
    <definedName name="Print_Area_0_0" localSheetId="3">'Base Caxias do Sul'!$B$2:$AG$21</definedName>
    <definedName name="Print_Area_0_0" localSheetId="5">'Base Novo Hamburgo'!$B$2:$AG$33</definedName>
    <definedName name="Print_Area_0_0" localSheetId="13">NA()</definedName>
    <definedName name="Print_Area_0_0" localSheetId="4">'Desl. Base Caxias do Sul'!$B$2:$M$30</definedName>
    <definedName name="Print_Area_0_0" localSheetId="6">'Desl. Base Novo Hamburgo'!$B$2:$M$64</definedName>
    <definedName name="Print_Area_0_0" localSheetId="2">'Equipe Técnica'!$B$2:$E$13</definedName>
    <definedName name="Print_Area_0_0" localSheetId="12">Unidades!$C$2:$F$19</definedName>
    <definedName name="Print_Area_0_0_0" localSheetId="3">'Base Caxias do Sul'!$B$4:$O$22</definedName>
    <definedName name="Print_Area_0_0_0" localSheetId="5">'Base Novo Hamburgo'!$B$4:$O$34</definedName>
    <definedName name="Print_Area_0_0_0" localSheetId="4">'Desl. Base Caxias do Sul'!$B$4:$L$30</definedName>
    <definedName name="Print_Area_0_0_0" localSheetId="6">'Desl. Base Novo Hamburgo'!$B$4:$L$44</definedName>
    <definedName name="Print_Area_0_0_0_0" localSheetId="3">'Base Caxias do Sul'!$B$4:$O$22</definedName>
    <definedName name="Print_Area_0_0_0_0" localSheetId="5">'Base Novo Hamburgo'!$B$4:$O$34</definedName>
    <definedName name="Print_Area_0_0_0_0" localSheetId="4">'Desl. Base Caxias do Sul'!$B$4:$L$30</definedName>
    <definedName name="Print_Area_0_0_0_0" localSheetId="6">'Desl. Base Novo Hamburgo'!$B$4:$L$44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5" i="19" l="1"/>
  <c r="I15" i="19" s="1"/>
  <c r="D11" i="19" s="1"/>
  <c r="D5" i="3" s="1"/>
  <c r="I19" i="19"/>
  <c r="I18" i="19"/>
  <c r="I17" i="19"/>
  <c r="I16" i="19"/>
  <c r="I14" i="19"/>
  <c r="C14" i="18"/>
  <c r="C13" i="18"/>
  <c r="W8" i="6"/>
  <c r="W9" i="6"/>
  <c r="W10" i="6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7" i="6"/>
  <c r="R6" i="7"/>
  <c r="R7" i="7"/>
  <c r="R8" i="7"/>
  <c r="R9" i="7"/>
  <c r="R10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5" i="7"/>
  <c r="V8" i="6"/>
  <c r="V9" i="6"/>
  <c r="V10" i="6"/>
  <c r="V11" i="6"/>
  <c r="V12" i="6"/>
  <c r="V13" i="6"/>
  <c r="V14" i="6"/>
  <c r="V15" i="6"/>
  <c r="V16" i="6"/>
  <c r="V17" i="6"/>
  <c r="V18" i="6"/>
  <c r="V19" i="6"/>
  <c r="V20" i="6"/>
  <c r="V21" i="6"/>
  <c r="V22" i="6"/>
  <c r="V23" i="6"/>
  <c r="V24" i="6"/>
  <c r="V25" i="6"/>
  <c r="V26" i="6"/>
  <c r="V27" i="6"/>
  <c r="V28" i="6"/>
  <c r="V7" i="6"/>
  <c r="W8" i="4"/>
  <c r="W9" i="4"/>
  <c r="W10" i="4"/>
  <c r="W11" i="4"/>
  <c r="W12" i="4"/>
  <c r="W13" i="4"/>
  <c r="W14" i="4"/>
  <c r="W15" i="4"/>
  <c r="W16" i="4"/>
  <c r="W7" i="4"/>
  <c r="V8" i="4"/>
  <c r="V9" i="4"/>
  <c r="V10" i="4"/>
  <c r="V11" i="4"/>
  <c r="V12" i="4"/>
  <c r="V13" i="4"/>
  <c r="V14" i="4"/>
  <c r="V15" i="4"/>
  <c r="V16" i="4"/>
  <c r="V7" i="4"/>
  <c r="R6" i="5"/>
  <c r="R7" i="5"/>
  <c r="R8" i="5"/>
  <c r="R9" i="5"/>
  <c r="R10" i="5"/>
  <c r="R11" i="5"/>
  <c r="R12" i="5"/>
  <c r="R13" i="5"/>
  <c r="R14" i="5"/>
  <c r="R5" i="5"/>
  <c r="K8" i="4"/>
  <c r="K9" i="4"/>
  <c r="K10" i="4"/>
  <c r="K11" i="4"/>
  <c r="K12" i="4"/>
  <c r="K13" i="4"/>
  <c r="K14" i="4"/>
  <c r="K15" i="4"/>
  <c r="K16" i="4"/>
  <c r="K7" i="4"/>
  <c r="C20" i="4"/>
  <c r="C32" i="6" s="1"/>
  <c r="I22" i="17"/>
  <c r="I21" i="17"/>
  <c r="I20" i="17"/>
  <c r="I19" i="17"/>
  <c r="D11" i="17" s="1"/>
  <c r="I18" i="17"/>
  <c r="I17" i="17"/>
  <c r="I16" i="17"/>
  <c r="I15" i="17"/>
  <c r="I14" i="17"/>
  <c r="C17" i="16"/>
  <c r="C19" i="16" s="1"/>
  <c r="C16" i="16"/>
  <c r="C18" i="16" s="1"/>
  <c r="D32" i="6"/>
  <c r="E32" i="6"/>
  <c r="I8" i="15"/>
  <c r="I10" i="15"/>
  <c r="H8" i="15"/>
  <c r="H10" i="15"/>
  <c r="P6" i="5" l="1"/>
  <c r="K6" i="5"/>
  <c r="L6" i="5" s="1"/>
  <c r="O6" i="5" s="1"/>
  <c r="G6" i="5"/>
  <c r="P5" i="5"/>
  <c r="L5" i="5"/>
  <c r="O5" i="5" s="1"/>
  <c r="K5" i="5"/>
  <c r="G5" i="5"/>
  <c r="K6" i="7"/>
  <c r="L6" i="7" s="1"/>
  <c r="O6" i="7" s="1"/>
  <c r="G6" i="7"/>
  <c r="K5" i="7"/>
  <c r="L5" i="7" s="1"/>
  <c r="O5" i="7" s="1"/>
  <c r="G5" i="7"/>
  <c r="C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C32" i="15"/>
  <c r="C33" i="15"/>
  <c r="C34" i="15"/>
  <c r="C35" i="15"/>
  <c r="C36" i="15"/>
  <c r="C5" i="15"/>
  <c r="B36" i="15"/>
  <c r="B33" i="15"/>
  <c r="B34" i="15"/>
  <c r="B3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28" i="15"/>
  <c r="B29" i="15"/>
  <c r="B30" i="15"/>
  <c r="B31" i="15"/>
  <c r="B32" i="15"/>
  <c r="B15" i="15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AJ8" i="6"/>
  <c r="AJ9" i="6"/>
  <c r="AJ10" i="6"/>
  <c r="AJ11" i="6"/>
  <c r="AJ12" i="6"/>
  <c r="AJ13" i="6"/>
  <c r="AJ14" i="6"/>
  <c r="AJ15" i="6"/>
  <c r="AJ16" i="6"/>
  <c r="AJ17" i="6"/>
  <c r="AJ18" i="6"/>
  <c r="AJ19" i="6"/>
  <c r="AJ20" i="6"/>
  <c r="AJ21" i="6"/>
  <c r="AJ22" i="6"/>
  <c r="AJ23" i="6"/>
  <c r="AJ24" i="6"/>
  <c r="AJ25" i="6"/>
  <c r="AJ26" i="6"/>
  <c r="AJ27" i="6"/>
  <c r="AJ28" i="6"/>
  <c r="AJ7" i="6"/>
  <c r="AI8" i="6"/>
  <c r="AI9" i="6"/>
  <c r="AI10" i="6"/>
  <c r="AI11" i="6"/>
  <c r="AI12" i="6"/>
  <c r="AI13" i="6"/>
  <c r="AI14" i="6"/>
  <c r="AI15" i="6"/>
  <c r="AI16" i="6"/>
  <c r="AI17" i="6"/>
  <c r="AI18" i="6"/>
  <c r="AI19" i="6"/>
  <c r="AI20" i="6"/>
  <c r="AI21" i="6"/>
  <c r="AI22" i="6"/>
  <c r="AI23" i="6"/>
  <c r="AI24" i="6"/>
  <c r="AI25" i="6"/>
  <c r="AI26" i="6"/>
  <c r="AI27" i="6"/>
  <c r="AI28" i="6"/>
  <c r="X8" i="6"/>
  <c r="X9" i="6"/>
  <c r="X10" i="6"/>
  <c r="X11" i="6"/>
  <c r="X12" i="6"/>
  <c r="X13" i="6"/>
  <c r="X14" i="6"/>
  <c r="X15" i="6"/>
  <c r="X16" i="6"/>
  <c r="X17" i="6"/>
  <c r="X18" i="6"/>
  <c r="X19" i="6"/>
  <c r="X20" i="6"/>
  <c r="X21" i="6"/>
  <c r="X22" i="6"/>
  <c r="X23" i="6"/>
  <c r="X24" i="6"/>
  <c r="X25" i="6"/>
  <c r="X26" i="6"/>
  <c r="X27" i="6"/>
  <c r="X28" i="6"/>
  <c r="R8" i="6"/>
  <c r="S8" i="6"/>
  <c r="T8" i="6"/>
  <c r="U8" i="6"/>
  <c r="R9" i="6"/>
  <c r="S9" i="6"/>
  <c r="T9" i="6"/>
  <c r="U9" i="6"/>
  <c r="R10" i="6"/>
  <c r="S10" i="6"/>
  <c r="T10" i="6"/>
  <c r="U10" i="6"/>
  <c r="R11" i="6"/>
  <c r="S11" i="6"/>
  <c r="T11" i="6"/>
  <c r="U11" i="6"/>
  <c r="R12" i="6"/>
  <c r="S12" i="6"/>
  <c r="T12" i="6"/>
  <c r="U12" i="6"/>
  <c r="R13" i="6"/>
  <c r="S13" i="6"/>
  <c r="T13" i="6"/>
  <c r="U13" i="6"/>
  <c r="R14" i="6"/>
  <c r="S14" i="6"/>
  <c r="T14" i="6"/>
  <c r="U14" i="6"/>
  <c r="R15" i="6"/>
  <c r="S15" i="6"/>
  <c r="T15" i="6"/>
  <c r="U15" i="6"/>
  <c r="R16" i="6"/>
  <c r="S16" i="6"/>
  <c r="T16" i="6"/>
  <c r="U16" i="6"/>
  <c r="R17" i="6"/>
  <c r="S17" i="6"/>
  <c r="T17" i="6"/>
  <c r="U17" i="6"/>
  <c r="R18" i="6"/>
  <c r="S18" i="6"/>
  <c r="T18" i="6"/>
  <c r="U18" i="6"/>
  <c r="R19" i="6"/>
  <c r="S19" i="6"/>
  <c r="T19" i="6"/>
  <c r="U19" i="6"/>
  <c r="R20" i="6"/>
  <c r="S20" i="6"/>
  <c r="T20" i="6"/>
  <c r="U20" i="6"/>
  <c r="R21" i="6"/>
  <c r="S21" i="6"/>
  <c r="T21" i="6"/>
  <c r="U21" i="6"/>
  <c r="R22" i="6"/>
  <c r="S22" i="6"/>
  <c r="T22" i="6"/>
  <c r="U22" i="6"/>
  <c r="R23" i="6"/>
  <c r="S23" i="6"/>
  <c r="T23" i="6"/>
  <c r="U23" i="6"/>
  <c r="R24" i="6"/>
  <c r="S24" i="6"/>
  <c r="T24" i="6"/>
  <c r="U24" i="6"/>
  <c r="R25" i="6"/>
  <c r="S25" i="6"/>
  <c r="T25" i="6"/>
  <c r="U25" i="6"/>
  <c r="R26" i="6"/>
  <c r="S26" i="6"/>
  <c r="T26" i="6"/>
  <c r="U26" i="6"/>
  <c r="R27" i="6"/>
  <c r="S27" i="6"/>
  <c r="T27" i="6"/>
  <c r="U27" i="6"/>
  <c r="R28" i="6"/>
  <c r="S28" i="6"/>
  <c r="T28" i="6"/>
  <c r="U28" i="6"/>
  <c r="Q8" i="6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F7" i="6"/>
  <c r="E7" i="6"/>
  <c r="D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7" i="6"/>
  <c r="O25" i="7"/>
  <c r="O22" i="7"/>
  <c r="O20" i="7"/>
  <c r="O18" i="7"/>
  <c r="O16" i="7"/>
  <c r="O14" i="7"/>
  <c r="O12" i="7"/>
  <c r="O10" i="7"/>
  <c r="O8" i="7"/>
  <c r="P26" i="7"/>
  <c r="K26" i="7"/>
  <c r="L26" i="7" s="1"/>
  <c r="O26" i="7" s="1"/>
  <c r="G26" i="7"/>
  <c r="K24" i="7"/>
  <c r="L24" i="7" s="1"/>
  <c r="O24" i="7" s="1"/>
  <c r="G24" i="7"/>
  <c r="P23" i="7"/>
  <c r="K23" i="7"/>
  <c r="L23" i="7" s="1"/>
  <c r="O23" i="7" s="1"/>
  <c r="G23" i="7"/>
  <c r="P22" i="7"/>
  <c r="P21" i="7"/>
  <c r="I21" i="7"/>
  <c r="K21" i="7" s="1"/>
  <c r="L21" i="7" s="1"/>
  <c r="O21" i="7" s="1"/>
  <c r="E21" i="7"/>
  <c r="G21" i="7" s="1"/>
  <c r="P20" i="7"/>
  <c r="P19" i="7"/>
  <c r="I19" i="7"/>
  <c r="K19" i="7" s="1"/>
  <c r="L19" i="7" s="1"/>
  <c r="O19" i="7" s="1"/>
  <c r="E19" i="7"/>
  <c r="G19" i="7" s="1"/>
  <c r="P18" i="7"/>
  <c r="P17" i="7"/>
  <c r="K17" i="7"/>
  <c r="L17" i="7" s="1"/>
  <c r="O17" i="7" s="1"/>
  <c r="G17" i="7"/>
  <c r="P16" i="7"/>
  <c r="P15" i="7"/>
  <c r="I15" i="7"/>
  <c r="K15" i="7" s="1"/>
  <c r="L15" i="7" s="1"/>
  <c r="O15" i="7" s="1"/>
  <c r="E15" i="7"/>
  <c r="G15" i="7" s="1"/>
  <c r="K13" i="7"/>
  <c r="L13" i="7" s="1"/>
  <c r="O13" i="7" s="1"/>
  <c r="G13" i="7"/>
  <c r="K11" i="7"/>
  <c r="L11" i="7" s="1"/>
  <c r="O11" i="7" s="1"/>
  <c r="E11" i="7"/>
  <c r="G11" i="7" s="1"/>
  <c r="P10" i="7"/>
  <c r="P9" i="7"/>
  <c r="K9" i="7"/>
  <c r="L9" i="7" s="1"/>
  <c r="O9" i="7" s="1"/>
  <c r="E9" i="7"/>
  <c r="G9" i="7" s="1"/>
  <c r="K7" i="7"/>
  <c r="L7" i="7" s="1"/>
  <c r="O7" i="7" s="1"/>
  <c r="G7" i="7"/>
  <c r="G14" i="6"/>
  <c r="H14" i="6" s="1"/>
  <c r="G18" i="6"/>
  <c r="H18" i="6" s="1"/>
  <c r="K14" i="5"/>
  <c r="L14" i="5" s="1"/>
  <c r="O14" i="5" s="1"/>
  <c r="G14" i="5"/>
  <c r="L13" i="5"/>
  <c r="O13" i="5" s="1"/>
  <c r="K13" i="5"/>
  <c r="G13" i="5"/>
  <c r="K11" i="5"/>
  <c r="L11" i="5" s="1"/>
  <c r="O11" i="5" s="1"/>
  <c r="O12" i="5" s="1"/>
  <c r="K9" i="5"/>
  <c r="L9" i="5" s="1"/>
  <c r="O9" i="5" s="1"/>
  <c r="O10" i="5" s="1"/>
  <c r="K7" i="5"/>
  <c r="L7" i="5" s="1"/>
  <c r="O7" i="5" s="1"/>
  <c r="O8" i="5" s="1"/>
  <c r="G7" i="5"/>
  <c r="E11" i="5"/>
  <c r="G11" i="5" s="1"/>
  <c r="E9" i="5"/>
  <c r="G9" i="5" s="1"/>
  <c r="H33" i="13"/>
  <c r="H34" i="13"/>
  <c r="H35" i="13"/>
  <c r="H36" i="13"/>
  <c r="F36" i="13"/>
  <c r="F35" i="13"/>
  <c r="F34" i="13"/>
  <c r="F33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2" i="13"/>
  <c r="F11" i="13"/>
  <c r="F10" i="13"/>
  <c r="F9" i="13"/>
  <c r="F8" i="13"/>
  <c r="F7" i="13"/>
  <c r="F6" i="13"/>
  <c r="F5" i="13"/>
  <c r="G21" i="6" l="1"/>
  <c r="H21" i="6" s="1"/>
  <c r="G16" i="6"/>
  <c r="H16" i="6" s="1"/>
  <c r="L16" i="6" s="1"/>
  <c r="G15" i="6"/>
  <c r="H15" i="6" s="1"/>
  <c r="I15" i="6" s="1"/>
  <c r="G19" i="6"/>
  <c r="H19" i="6" s="1"/>
  <c r="L19" i="6" s="1"/>
  <c r="G13" i="6"/>
  <c r="H13" i="6" s="1"/>
  <c r="I13" i="6" s="1"/>
  <c r="G20" i="6"/>
  <c r="H20" i="6" s="1"/>
  <c r="I20" i="6" s="1"/>
  <c r="G17" i="6"/>
  <c r="H17" i="6" s="1"/>
  <c r="I17" i="6" s="1"/>
  <c r="L18" i="6"/>
  <c r="I18" i="6"/>
  <c r="M18" i="6"/>
  <c r="M13" i="6"/>
  <c r="L13" i="6"/>
  <c r="M17" i="6"/>
  <c r="L17" i="6"/>
  <c r="L15" i="6"/>
  <c r="I16" i="6"/>
  <c r="M16" i="6"/>
  <c r="L14" i="6"/>
  <c r="I14" i="6"/>
  <c r="M14" i="6"/>
  <c r="G11" i="6"/>
  <c r="H11" i="6" s="1"/>
  <c r="L11" i="6" s="1"/>
  <c r="G22" i="6"/>
  <c r="H22" i="6" s="1"/>
  <c r="L22" i="6" s="1"/>
  <c r="G12" i="6"/>
  <c r="H12" i="6" s="1"/>
  <c r="M12" i="6" s="1"/>
  <c r="M11" i="6"/>
  <c r="M20" i="6"/>
  <c r="L20" i="6"/>
  <c r="L21" i="6"/>
  <c r="I21" i="6"/>
  <c r="M21" i="6"/>
  <c r="I12" i="6"/>
  <c r="L12" i="6" l="1"/>
  <c r="M22" i="6"/>
  <c r="N17" i="6"/>
  <c r="O17" i="6" s="1"/>
  <c r="N16" i="6"/>
  <c r="O16" i="6" s="1"/>
  <c r="I11" i="6"/>
  <c r="N11" i="6" s="1"/>
  <c r="O11" i="6" s="1"/>
  <c r="M15" i="6"/>
  <c r="N15" i="6" s="1"/>
  <c r="O15" i="6" s="1"/>
  <c r="N21" i="6"/>
  <c r="O21" i="6" s="1"/>
  <c r="N13" i="6"/>
  <c r="O13" i="6" s="1"/>
  <c r="N18" i="6"/>
  <c r="O18" i="6" s="1"/>
  <c r="N14" i="6"/>
  <c r="O14" i="6" s="1"/>
  <c r="M19" i="6"/>
  <c r="N20" i="6"/>
  <c r="O20" i="6" s="1"/>
  <c r="I19" i="6"/>
  <c r="I22" i="6"/>
  <c r="N22" i="6" s="1"/>
  <c r="O22" i="6" s="1"/>
  <c r="N12" i="6"/>
  <c r="O12" i="6" s="1"/>
  <c r="N19" i="6" l="1"/>
  <c r="O19" i="6" s="1"/>
  <c r="B21" i="4" l="1"/>
  <c r="H6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5" i="13"/>
  <c r="B3" i="14"/>
  <c r="E43" i="14"/>
  <c r="F43" i="14"/>
  <c r="G43" i="14"/>
  <c r="H43" i="14"/>
  <c r="I43" i="14"/>
  <c r="J43" i="14"/>
  <c r="D43" i="14"/>
  <c r="E29" i="14"/>
  <c r="F29" i="14"/>
  <c r="G29" i="14"/>
  <c r="H29" i="14"/>
  <c r="I29" i="14"/>
  <c r="J29" i="14"/>
  <c r="D29" i="14"/>
  <c r="G31" i="12" l="1"/>
  <c r="G32" i="12"/>
  <c r="G30" i="12"/>
  <c r="D24" i="12"/>
  <c r="D23" i="12"/>
  <c r="B2" i="4"/>
  <c r="B7" i="2"/>
  <c r="B2" i="15"/>
  <c r="B2" i="13"/>
  <c r="B2" i="3"/>
  <c r="B2" i="2"/>
  <c r="B33" i="6" l="1"/>
  <c r="D31" i="6"/>
  <c r="C31" i="6"/>
  <c r="C41" i="7"/>
  <c r="C29" i="5"/>
  <c r="AI2" i="6"/>
  <c r="AI2" i="4"/>
  <c r="B6" i="15"/>
  <c r="B7" i="15"/>
  <c r="B8" i="15"/>
  <c r="B9" i="15"/>
  <c r="B10" i="15"/>
  <c r="B11" i="15"/>
  <c r="B12" i="15"/>
  <c r="B13" i="15"/>
  <c r="B14" i="15"/>
  <c r="B5" i="15"/>
  <c r="B25" i="2"/>
  <c r="B12" i="2"/>
  <c r="B13" i="2"/>
  <c r="B14" i="2"/>
  <c r="B15" i="2"/>
  <c r="B16" i="2"/>
  <c r="B17" i="2"/>
  <c r="B18" i="2"/>
  <c r="B19" i="2"/>
  <c r="B20" i="2"/>
  <c r="B11" i="2"/>
  <c r="Q15" i="5"/>
  <c r="N15" i="5"/>
  <c r="AI8" i="4"/>
  <c r="AI9" i="4"/>
  <c r="AI10" i="4"/>
  <c r="AI11" i="4"/>
  <c r="AI12" i="4"/>
  <c r="AI13" i="4"/>
  <c r="AI14" i="4"/>
  <c r="AI15" i="4"/>
  <c r="AI16" i="4"/>
  <c r="M15" i="5"/>
  <c r="Q8" i="4"/>
  <c r="Q9" i="4"/>
  <c r="Q10" i="4"/>
  <c r="Q11" i="4"/>
  <c r="Q12" i="4"/>
  <c r="X12" i="4" s="1"/>
  <c r="Q13" i="4"/>
  <c r="Q14" i="4"/>
  <c r="Q15" i="4"/>
  <c r="Q16" i="4"/>
  <c r="J10" i="4"/>
  <c r="J11" i="4"/>
  <c r="J12" i="4"/>
  <c r="J13" i="4"/>
  <c r="J14" i="4"/>
  <c r="J15" i="4"/>
  <c r="J16" i="4"/>
  <c r="J7" i="4"/>
  <c r="J8" i="4"/>
  <c r="J9" i="4"/>
  <c r="F10" i="4"/>
  <c r="F11" i="4"/>
  <c r="F12" i="4"/>
  <c r="F13" i="4"/>
  <c r="F14" i="4"/>
  <c r="F15" i="4"/>
  <c r="F16" i="4"/>
  <c r="F7" i="4"/>
  <c r="F8" i="4"/>
  <c r="F9" i="4"/>
  <c r="E10" i="4"/>
  <c r="E11" i="4"/>
  <c r="E12" i="4"/>
  <c r="E13" i="4"/>
  <c r="E14" i="4"/>
  <c r="E15" i="4"/>
  <c r="E16" i="4"/>
  <c r="E7" i="4"/>
  <c r="E8" i="4"/>
  <c r="E9" i="4"/>
  <c r="D10" i="4"/>
  <c r="D11" i="4"/>
  <c r="D12" i="4"/>
  <c r="D13" i="4"/>
  <c r="D14" i="4"/>
  <c r="D15" i="4"/>
  <c r="D16" i="4"/>
  <c r="D7" i="4"/>
  <c r="D8" i="4"/>
  <c r="D9" i="4"/>
  <c r="C8" i="4"/>
  <c r="C9" i="4"/>
  <c r="C10" i="4"/>
  <c r="C11" i="4"/>
  <c r="C12" i="4"/>
  <c r="C13" i="4"/>
  <c r="C14" i="4"/>
  <c r="C15" i="4"/>
  <c r="C16" i="4"/>
  <c r="C7" i="4"/>
  <c r="J44" i="14"/>
  <c r="I44" i="14"/>
  <c r="H44" i="14"/>
  <c r="G44" i="14"/>
  <c r="F44" i="14"/>
  <c r="E44" i="14"/>
  <c r="D44" i="14"/>
  <c r="J30" i="14"/>
  <c r="I30" i="14"/>
  <c r="H30" i="14"/>
  <c r="G30" i="14"/>
  <c r="F30" i="14"/>
  <c r="E30" i="14"/>
  <c r="D30" i="14"/>
  <c r="I31" i="12"/>
  <c r="I18" i="12"/>
  <c r="I17" i="12"/>
  <c r="I16" i="12"/>
  <c r="I15" i="12"/>
  <c r="I14" i="12"/>
  <c r="N27" i="7"/>
  <c r="M27" i="7"/>
  <c r="C4" i="7"/>
  <c r="B2" i="7"/>
  <c r="E31" i="6"/>
  <c r="AI7" i="6"/>
  <c r="Q7" i="6"/>
  <c r="AS4" i="6"/>
  <c r="Q2" i="6"/>
  <c r="B2" i="6"/>
  <c r="P14" i="5"/>
  <c r="P13" i="5"/>
  <c r="P11" i="5"/>
  <c r="P12" i="5" s="1"/>
  <c r="P9" i="5"/>
  <c r="P10" i="5" s="1"/>
  <c r="P7" i="5"/>
  <c r="P8" i="5" s="1"/>
  <c r="C4" i="5"/>
  <c r="B2" i="5"/>
  <c r="AI7" i="4"/>
  <c r="Q7" i="4"/>
  <c r="X7" i="4" s="1"/>
  <c r="AS4" i="4"/>
  <c r="Q2" i="4"/>
  <c r="E8" i="3"/>
  <c r="D8" i="3"/>
  <c r="C8" i="3"/>
  <c r="E7" i="3"/>
  <c r="D7" i="3"/>
  <c r="C7" i="3"/>
  <c r="B47" i="2"/>
  <c r="B23" i="2"/>
  <c r="B21" i="2"/>
  <c r="B9" i="2"/>
  <c r="X10" i="4" l="1"/>
  <c r="X13" i="4"/>
  <c r="X8" i="4"/>
  <c r="X11" i="4"/>
  <c r="X9" i="4"/>
  <c r="X16" i="4"/>
  <c r="X15" i="4"/>
  <c r="X14" i="4"/>
  <c r="C13" i="3"/>
  <c r="AJ16" i="4"/>
  <c r="AJ13" i="4"/>
  <c r="AJ10" i="4"/>
  <c r="AJ8" i="4"/>
  <c r="AJ14" i="4"/>
  <c r="AJ15" i="4"/>
  <c r="I32" i="12"/>
  <c r="C12" i="3"/>
  <c r="J8" i="15"/>
  <c r="J10" i="15"/>
  <c r="X7" i="6"/>
  <c r="K15" i="5"/>
  <c r="G27" i="7"/>
  <c r="G15" i="5"/>
  <c r="E17" i="4"/>
  <c r="F17" i="4"/>
  <c r="D17" i="4"/>
  <c r="G23" i="6"/>
  <c r="H23" i="6" s="1"/>
  <c r="G26" i="6"/>
  <c r="H26" i="6" s="1"/>
  <c r="G24" i="6"/>
  <c r="H24" i="6" s="1"/>
  <c r="L24" i="6" s="1"/>
  <c r="E29" i="6"/>
  <c r="J29" i="6"/>
  <c r="G10" i="6"/>
  <c r="H10" i="6" s="1"/>
  <c r="G28" i="6"/>
  <c r="H28" i="6" s="1"/>
  <c r="I28" i="6" s="1"/>
  <c r="G27" i="6"/>
  <c r="H27" i="6" s="1"/>
  <c r="L27" i="6" s="1"/>
  <c r="G9" i="6"/>
  <c r="H9" i="6" s="1"/>
  <c r="G25" i="6"/>
  <c r="H25" i="6" s="1"/>
  <c r="I25" i="6" s="1"/>
  <c r="G12" i="4"/>
  <c r="H12" i="4" s="1"/>
  <c r="R12" i="4" s="1"/>
  <c r="G11" i="4"/>
  <c r="H11" i="4" s="1"/>
  <c r="R11" i="4" s="1"/>
  <c r="G7" i="4"/>
  <c r="G16" i="4"/>
  <c r="H16" i="4" s="1"/>
  <c r="R16" i="4" s="1"/>
  <c r="G15" i="4"/>
  <c r="H15" i="4" s="1"/>
  <c r="R15" i="4" s="1"/>
  <c r="C17" i="4"/>
  <c r="C5" i="2" s="1"/>
  <c r="G14" i="4"/>
  <c r="H14" i="4" s="1"/>
  <c r="G13" i="4"/>
  <c r="H13" i="4" s="1"/>
  <c r="J17" i="4"/>
  <c r="G10" i="4"/>
  <c r="H10" i="4" s="1"/>
  <c r="G8" i="4"/>
  <c r="H8" i="4" s="1"/>
  <c r="K17" i="4"/>
  <c r="L15" i="5"/>
  <c r="C29" i="6"/>
  <c r="C6" i="2" s="1"/>
  <c r="D29" i="6"/>
  <c r="G8" i="6"/>
  <c r="H8" i="6" s="1"/>
  <c r="F29" i="6"/>
  <c r="G9" i="4"/>
  <c r="H9" i="4" s="1"/>
  <c r="R9" i="4" s="1"/>
  <c r="G7" i="6"/>
  <c r="K29" i="6"/>
  <c r="K27" i="7"/>
  <c r="D11" i="12"/>
  <c r="E19" i="5" s="1"/>
  <c r="AJ12" i="4"/>
  <c r="I30" i="12"/>
  <c r="D27" i="12" l="1"/>
  <c r="E20" i="5" s="1"/>
  <c r="E32" i="7" s="1"/>
  <c r="M8" i="4"/>
  <c r="U8" i="4" s="1"/>
  <c r="R8" i="4"/>
  <c r="L14" i="4"/>
  <c r="T14" i="4" s="1"/>
  <c r="R14" i="4"/>
  <c r="I13" i="4"/>
  <c r="S13" i="4" s="1"/>
  <c r="R13" i="4"/>
  <c r="I10" i="4"/>
  <c r="S10" i="4" s="1"/>
  <c r="R10" i="4"/>
  <c r="AJ7" i="4"/>
  <c r="AJ9" i="4"/>
  <c r="AJ11" i="4"/>
  <c r="X29" i="6"/>
  <c r="H7" i="4"/>
  <c r="G17" i="4"/>
  <c r="W29" i="6"/>
  <c r="L26" i="6"/>
  <c r="M26" i="6"/>
  <c r="M27" i="6"/>
  <c r="I14" i="4"/>
  <c r="S14" i="4" s="1"/>
  <c r="M23" i="6"/>
  <c r="L11" i="4"/>
  <c r="T11" i="4" s="1"/>
  <c r="I23" i="6"/>
  <c r="M11" i="4"/>
  <c r="U11" i="4" s="1"/>
  <c r="M25" i="6"/>
  <c r="L23" i="6"/>
  <c r="I10" i="6"/>
  <c r="L10" i="6"/>
  <c r="M28" i="6"/>
  <c r="L28" i="6"/>
  <c r="M10" i="6"/>
  <c r="M24" i="6"/>
  <c r="I24" i="6"/>
  <c r="M14" i="4"/>
  <c r="U14" i="4" s="1"/>
  <c r="I9" i="6"/>
  <c r="L25" i="6"/>
  <c r="I26" i="6"/>
  <c r="L9" i="6"/>
  <c r="M9" i="6"/>
  <c r="I27" i="6"/>
  <c r="L13" i="4"/>
  <c r="T13" i="4" s="1"/>
  <c r="I12" i="4"/>
  <c r="S12" i="4" s="1"/>
  <c r="I11" i="4"/>
  <c r="S11" i="4" s="1"/>
  <c r="I16" i="4"/>
  <c r="S16" i="4" s="1"/>
  <c r="L16" i="4"/>
  <c r="T16" i="4" s="1"/>
  <c r="M12" i="4"/>
  <c r="U12" i="4" s="1"/>
  <c r="I15" i="4"/>
  <c r="S15" i="4" s="1"/>
  <c r="M15" i="4"/>
  <c r="U15" i="4" s="1"/>
  <c r="C7" i="2"/>
  <c r="L15" i="4"/>
  <c r="T15" i="4" s="1"/>
  <c r="M13" i="4"/>
  <c r="U13" i="4" s="1"/>
  <c r="L12" i="4"/>
  <c r="T12" i="4" s="1"/>
  <c r="L10" i="4"/>
  <c r="T10" i="4" s="1"/>
  <c r="M16" i="4"/>
  <c r="U16" i="4" s="1"/>
  <c r="I8" i="4"/>
  <c r="S8" i="4" s="1"/>
  <c r="M10" i="4"/>
  <c r="U10" i="4" s="1"/>
  <c r="L8" i="4"/>
  <c r="T8" i="4" s="1"/>
  <c r="X17" i="4"/>
  <c r="L27" i="7"/>
  <c r="E31" i="7"/>
  <c r="M8" i="6"/>
  <c r="L8" i="6"/>
  <c r="I8" i="6"/>
  <c r="G29" i="6"/>
  <c r="H7" i="6"/>
  <c r="R7" i="6" s="1"/>
  <c r="I9" i="4"/>
  <c r="S9" i="4" s="1"/>
  <c r="M9" i="4"/>
  <c r="U9" i="4" s="1"/>
  <c r="L9" i="4"/>
  <c r="T9" i="4" s="1"/>
  <c r="W17" i="4"/>
  <c r="C24" i="5"/>
  <c r="Y22" i="6" l="1"/>
  <c r="Y15" i="6"/>
  <c r="Y10" i="6"/>
  <c r="Y16" i="6"/>
  <c r="Y28" i="6"/>
  <c r="Y14" i="6"/>
  <c r="Y23" i="6"/>
  <c r="Y11" i="6"/>
  <c r="Y17" i="6"/>
  <c r="Y21" i="6"/>
  <c r="Y24" i="6"/>
  <c r="Y12" i="6"/>
  <c r="Y18" i="6"/>
  <c r="Y26" i="6"/>
  <c r="Y25" i="6"/>
  <c r="Y13" i="6"/>
  <c r="Y19" i="6"/>
  <c r="Y20" i="6"/>
  <c r="Y9" i="6"/>
  <c r="Y27" i="6"/>
  <c r="Y8" i="6"/>
  <c r="H17" i="4"/>
  <c r="R7" i="4"/>
  <c r="R17" i="4" s="1"/>
  <c r="I7" i="4"/>
  <c r="S7" i="4" s="1"/>
  <c r="M7" i="4"/>
  <c r="L7" i="4"/>
  <c r="T7" i="4" s="1"/>
  <c r="N14" i="4"/>
  <c r="O14" i="4" s="1"/>
  <c r="N24" i="6"/>
  <c r="O24" i="6" s="1"/>
  <c r="N23" i="6"/>
  <c r="O23" i="6" s="1"/>
  <c r="N11" i="4"/>
  <c r="O11" i="4" s="1"/>
  <c r="N28" i="6"/>
  <c r="O28" i="6" s="1"/>
  <c r="N13" i="4"/>
  <c r="O13" i="4" s="1"/>
  <c r="N25" i="6"/>
  <c r="O25" i="6" s="1"/>
  <c r="N27" i="6"/>
  <c r="O27" i="6" s="1"/>
  <c r="N10" i="6"/>
  <c r="O10" i="6" s="1"/>
  <c r="N26" i="6"/>
  <c r="O26" i="6" s="1"/>
  <c r="N9" i="6"/>
  <c r="O9" i="6" s="1"/>
  <c r="N12" i="4"/>
  <c r="O12" i="4" s="1"/>
  <c r="N15" i="4"/>
  <c r="O15" i="4" s="1"/>
  <c r="N8" i="6"/>
  <c r="O8" i="6" s="1"/>
  <c r="N16" i="4"/>
  <c r="O16" i="4" s="1"/>
  <c r="N10" i="4"/>
  <c r="O10" i="4" s="1"/>
  <c r="N8" i="4"/>
  <c r="N9" i="4"/>
  <c r="O9" i="4" s="1"/>
  <c r="H29" i="6"/>
  <c r="M7" i="6"/>
  <c r="U7" i="6" s="1"/>
  <c r="L7" i="6"/>
  <c r="T7" i="6" s="1"/>
  <c r="I7" i="6"/>
  <c r="S7" i="6" s="1"/>
  <c r="C36" i="7"/>
  <c r="V29" i="6"/>
  <c r="M17" i="4" l="1"/>
  <c r="U7" i="4"/>
  <c r="U17" i="4" s="1"/>
  <c r="Y8" i="4"/>
  <c r="O8" i="4"/>
  <c r="I17" i="4"/>
  <c r="Y14" i="4"/>
  <c r="Y9" i="4"/>
  <c r="Y10" i="4"/>
  <c r="Y16" i="4"/>
  <c r="Y15" i="4"/>
  <c r="Y12" i="4"/>
  <c r="Y13" i="4"/>
  <c r="Y11" i="4"/>
  <c r="N7" i="4"/>
  <c r="T17" i="4"/>
  <c r="L17" i="4"/>
  <c r="N7" i="6"/>
  <c r="O7" i="6" s="1"/>
  <c r="R29" i="6"/>
  <c r="I29" i="6"/>
  <c r="V17" i="4"/>
  <c r="S17" i="4"/>
  <c r="L29" i="6"/>
  <c r="M29" i="6"/>
  <c r="Y7" i="4" l="1"/>
  <c r="Y17" i="4" s="1"/>
  <c r="O7" i="4"/>
  <c r="O17" i="4" s="1"/>
  <c r="O29" i="6"/>
  <c r="Y7" i="6"/>
  <c r="Y29" i="6" s="1"/>
  <c r="K8" i="15"/>
  <c r="K10" i="15"/>
  <c r="N17" i="4"/>
  <c r="N29" i="6"/>
  <c r="S29" i="6"/>
  <c r="T29" i="6"/>
  <c r="U29" i="6"/>
  <c r="C25" i="5" l="1"/>
  <c r="C26" i="5" s="1"/>
  <c r="AC5" i="4"/>
  <c r="AC5" i="6"/>
  <c r="C37" i="7"/>
  <c r="C38" i="7" s="1"/>
  <c r="Z8" i="6" l="1"/>
  <c r="AD8" i="6" s="1"/>
  <c r="Z20" i="6"/>
  <c r="AD20" i="6" s="1"/>
  <c r="AB13" i="6"/>
  <c r="AF13" i="6" s="1"/>
  <c r="AM13" i="6" s="1"/>
  <c r="AC17" i="6"/>
  <c r="AG17" i="6" s="1"/>
  <c r="AN17" i="6" s="1"/>
  <c r="AB8" i="6"/>
  <c r="AF8" i="6" s="1"/>
  <c r="AM8" i="6" s="1"/>
  <c r="AA23" i="6"/>
  <c r="AE23" i="6" s="1"/>
  <c r="AL23" i="6" s="1"/>
  <c r="Z27" i="6"/>
  <c r="AD27" i="6" s="1"/>
  <c r="Z9" i="6"/>
  <c r="AD9" i="6" s="1"/>
  <c r="AA21" i="6"/>
  <c r="AE21" i="6" s="1"/>
  <c r="AL21" i="6" s="1"/>
  <c r="AB14" i="6"/>
  <c r="AF14" i="6" s="1"/>
  <c r="AM14" i="6" s="1"/>
  <c r="Z18" i="6"/>
  <c r="AD18" i="6" s="1"/>
  <c r="AB9" i="6"/>
  <c r="AF9" i="6" s="1"/>
  <c r="AM9" i="6" s="1"/>
  <c r="AB24" i="6"/>
  <c r="AF24" i="6" s="1"/>
  <c r="AM24" i="6" s="1"/>
  <c r="AA28" i="6"/>
  <c r="AE28" i="6" s="1"/>
  <c r="AL28" i="6" s="1"/>
  <c r="Z10" i="6"/>
  <c r="AD10" i="6" s="1"/>
  <c r="AB22" i="6"/>
  <c r="AF22" i="6" s="1"/>
  <c r="AM22" i="6" s="1"/>
  <c r="AC15" i="6"/>
  <c r="AG15" i="6" s="1"/>
  <c r="AN15" i="6" s="1"/>
  <c r="Z19" i="6"/>
  <c r="AD19" i="6" s="1"/>
  <c r="Z16" i="6"/>
  <c r="AD16" i="6" s="1"/>
  <c r="AA8" i="6"/>
  <c r="AE8" i="6" s="1"/>
  <c r="AL8" i="6" s="1"/>
  <c r="AC26" i="6"/>
  <c r="AG26" i="6" s="1"/>
  <c r="AN26" i="6" s="1"/>
  <c r="Z12" i="6"/>
  <c r="AD12" i="6" s="1"/>
  <c r="AC24" i="6"/>
  <c r="AG24" i="6" s="1"/>
  <c r="AN24" i="6" s="1"/>
  <c r="AA9" i="6"/>
  <c r="AE9" i="6" s="1"/>
  <c r="AL9" i="6" s="1"/>
  <c r="AB21" i="6"/>
  <c r="AF21" i="6" s="1"/>
  <c r="AM21" i="6" s="1"/>
  <c r="AA18" i="6"/>
  <c r="AE18" i="6" s="1"/>
  <c r="AL18" i="6" s="1"/>
  <c r="AC9" i="6"/>
  <c r="AG9" i="6" s="1"/>
  <c r="AN9" i="6" s="1"/>
  <c r="AC12" i="6"/>
  <c r="AG12" i="6" s="1"/>
  <c r="AN12" i="6" s="1"/>
  <c r="AA27" i="6"/>
  <c r="AE27" i="6" s="1"/>
  <c r="AL27" i="6" s="1"/>
  <c r="Z24" i="6"/>
  <c r="AD24" i="6" s="1"/>
  <c r="Z23" i="6"/>
  <c r="AD23" i="6" s="1"/>
  <c r="AB28" i="6"/>
  <c r="AF28" i="6" s="1"/>
  <c r="AM28" i="6" s="1"/>
  <c r="Z28" i="6"/>
  <c r="AD28" i="6" s="1"/>
  <c r="AB17" i="6"/>
  <c r="AF17" i="6" s="1"/>
  <c r="AM17" i="6" s="1"/>
  <c r="AA26" i="6"/>
  <c r="AE26" i="6" s="1"/>
  <c r="AL26" i="6" s="1"/>
  <c r="AB25" i="6"/>
  <c r="AF25" i="6" s="1"/>
  <c r="AM25" i="6" s="1"/>
  <c r="AC8" i="6"/>
  <c r="AG8" i="6" s="1"/>
  <c r="AN8" i="6" s="1"/>
  <c r="AA20" i="6"/>
  <c r="AE20" i="6" s="1"/>
  <c r="AL20" i="6" s="1"/>
  <c r="Z13" i="6"/>
  <c r="AD13" i="6" s="1"/>
  <c r="Z25" i="6"/>
  <c r="AD25" i="6" s="1"/>
  <c r="AA10" i="6"/>
  <c r="AE10" i="6" s="1"/>
  <c r="AL10" i="6" s="1"/>
  <c r="AC22" i="6"/>
  <c r="AG22" i="6" s="1"/>
  <c r="AN22" i="6" s="1"/>
  <c r="AA19" i="6"/>
  <c r="AE19" i="6" s="1"/>
  <c r="AL19" i="6" s="1"/>
  <c r="AC11" i="6"/>
  <c r="AG11" i="6" s="1"/>
  <c r="AN11" i="6" s="1"/>
  <c r="AC14" i="6"/>
  <c r="AG14" i="6" s="1"/>
  <c r="AN14" i="6" s="1"/>
  <c r="AA12" i="6"/>
  <c r="AE12" i="6" s="1"/>
  <c r="AL12" i="6" s="1"/>
  <c r="Z15" i="6"/>
  <c r="AD15" i="6" s="1"/>
  <c r="AA13" i="6"/>
  <c r="AE13" i="6" s="1"/>
  <c r="AL13" i="6" s="1"/>
  <c r="AA25" i="6"/>
  <c r="AE25" i="6" s="1"/>
  <c r="AL25" i="6" s="1"/>
  <c r="AA24" i="6"/>
  <c r="AE24" i="6" s="1"/>
  <c r="AL24" i="6" s="1"/>
  <c r="AA14" i="6"/>
  <c r="AE14" i="6" s="1"/>
  <c r="AL14" i="6" s="1"/>
  <c r="AA16" i="6"/>
  <c r="AE16" i="6" s="1"/>
  <c r="AL16" i="6" s="1"/>
  <c r="AB23" i="6"/>
  <c r="AF23" i="6" s="1"/>
  <c r="AM23" i="6" s="1"/>
  <c r="Z14" i="6"/>
  <c r="AD14" i="6" s="1"/>
  <c r="Z26" i="6"/>
  <c r="AD26" i="6" s="1"/>
  <c r="AA11" i="6"/>
  <c r="AE11" i="6" s="1"/>
  <c r="AL11" i="6" s="1"/>
  <c r="AC23" i="6"/>
  <c r="AG23" i="6" s="1"/>
  <c r="AN23" i="6" s="1"/>
  <c r="AB20" i="6"/>
  <c r="AF20" i="6" s="1"/>
  <c r="AM20" i="6" s="1"/>
  <c r="AC13" i="6"/>
  <c r="AG13" i="6" s="1"/>
  <c r="AN13" i="6" s="1"/>
  <c r="Z22" i="6"/>
  <c r="AD22" i="6" s="1"/>
  <c r="AA15" i="6"/>
  <c r="AE15" i="6" s="1"/>
  <c r="AL15" i="6" s="1"/>
  <c r="AC21" i="6"/>
  <c r="AG21" i="6" s="1"/>
  <c r="AN21" i="6" s="1"/>
  <c r="AB16" i="6"/>
  <c r="AF16" i="6" s="1"/>
  <c r="AM16" i="6" s="1"/>
  <c r="AA17" i="6"/>
  <c r="AE17" i="6" s="1"/>
  <c r="AL17" i="6" s="1"/>
  <c r="AB10" i="6"/>
  <c r="AF10" i="6" s="1"/>
  <c r="AM10" i="6" s="1"/>
  <c r="AB19" i="6"/>
  <c r="AF19" i="6" s="1"/>
  <c r="AM19" i="6" s="1"/>
  <c r="Z11" i="6"/>
  <c r="AD11" i="6" s="1"/>
  <c r="AC10" i="6"/>
  <c r="AG10" i="6" s="1"/>
  <c r="AN10" i="6" s="1"/>
  <c r="AC18" i="6"/>
  <c r="AG18" i="6" s="1"/>
  <c r="AN18" i="6" s="1"/>
  <c r="AB11" i="6"/>
  <c r="AF11" i="6" s="1"/>
  <c r="AM11" i="6" s="1"/>
  <c r="AB15" i="6"/>
  <c r="AF15" i="6" s="1"/>
  <c r="AM15" i="6" s="1"/>
  <c r="AB27" i="6"/>
  <c r="AF27" i="6" s="1"/>
  <c r="AM27" i="6" s="1"/>
  <c r="Z21" i="6"/>
  <c r="AD21" i="6" s="1"/>
  <c r="AB18" i="6"/>
  <c r="AF18" i="6" s="1"/>
  <c r="AM18" i="6" s="1"/>
  <c r="AB26" i="6"/>
  <c r="AF26" i="6" s="1"/>
  <c r="AM26" i="6" s="1"/>
  <c r="AC19" i="6"/>
  <c r="AG19" i="6" s="1"/>
  <c r="AN19" i="6" s="1"/>
  <c r="AB12" i="6"/>
  <c r="AF12" i="6" s="1"/>
  <c r="AM12" i="6" s="1"/>
  <c r="AC16" i="6"/>
  <c r="AG16" i="6" s="1"/>
  <c r="AN16" i="6" s="1"/>
  <c r="AC28" i="6"/>
  <c r="AG28" i="6" s="1"/>
  <c r="AN28" i="6" s="1"/>
  <c r="AA22" i="6"/>
  <c r="AE22" i="6" s="1"/>
  <c r="AL22" i="6" s="1"/>
  <c r="AC20" i="6"/>
  <c r="AG20" i="6" s="1"/>
  <c r="AN20" i="6" s="1"/>
  <c r="AC27" i="6"/>
  <c r="AG27" i="6" s="1"/>
  <c r="AN27" i="6" s="1"/>
  <c r="AC25" i="6"/>
  <c r="AG25" i="6" s="1"/>
  <c r="AN25" i="6" s="1"/>
  <c r="Z17" i="6"/>
  <c r="AD17" i="6" s="1"/>
  <c r="AC7" i="6"/>
  <c r="AB7" i="6"/>
  <c r="AA7" i="6"/>
  <c r="Z7" i="6"/>
  <c r="AK22" i="6" l="1"/>
  <c r="D30" i="15"/>
  <c r="AK15" i="6"/>
  <c r="D23" i="15"/>
  <c r="AK18" i="6"/>
  <c r="D26" i="15"/>
  <c r="AK9" i="6"/>
  <c r="D17" i="15"/>
  <c r="AK11" i="6"/>
  <c r="D19" i="15"/>
  <c r="AK26" i="6"/>
  <c r="D34" i="15"/>
  <c r="AK23" i="6"/>
  <c r="D31" i="15"/>
  <c r="D24" i="15"/>
  <c r="AK16" i="6"/>
  <c r="AK27" i="6"/>
  <c r="D35" i="15"/>
  <c r="D33" i="15"/>
  <c r="AK25" i="6"/>
  <c r="AK17" i="6"/>
  <c r="D25" i="15"/>
  <c r="AK12" i="6"/>
  <c r="D20" i="15"/>
  <c r="AK14" i="6"/>
  <c r="D22" i="15"/>
  <c r="AK24" i="6"/>
  <c r="D32" i="15"/>
  <c r="D27" i="15"/>
  <c r="AK19" i="6"/>
  <c r="D36" i="15"/>
  <c r="AK28" i="6"/>
  <c r="AK13" i="6"/>
  <c r="D21" i="15"/>
  <c r="AK10" i="6"/>
  <c r="D18" i="15"/>
  <c r="AK20" i="6"/>
  <c r="D28" i="15"/>
  <c r="AK21" i="6"/>
  <c r="D29" i="15"/>
  <c r="AK8" i="6"/>
  <c r="D16" i="15"/>
  <c r="AA8" i="4"/>
  <c r="AE8" i="4" s="1"/>
  <c r="AL8" i="4" s="1"/>
  <c r="AA12" i="4"/>
  <c r="AE12" i="4" s="1"/>
  <c r="AL12" i="4" s="1"/>
  <c r="AA16" i="4"/>
  <c r="AE16" i="4" s="1"/>
  <c r="AL16" i="4" s="1"/>
  <c r="AC7" i="4"/>
  <c r="AG7" i="4" s="1"/>
  <c r="Z16" i="4"/>
  <c r="AD16" i="4" s="1"/>
  <c r="AB8" i="4"/>
  <c r="AF8" i="4" s="1"/>
  <c r="AM8" i="4" s="1"/>
  <c r="AB12" i="4"/>
  <c r="AF12" i="4" s="1"/>
  <c r="AM12" i="4" s="1"/>
  <c r="AB16" i="4"/>
  <c r="AF16" i="4" s="1"/>
  <c r="AM16" i="4" s="1"/>
  <c r="AB7" i="4"/>
  <c r="AC8" i="4"/>
  <c r="AG8" i="4" s="1"/>
  <c r="AN8" i="4" s="1"/>
  <c r="AC12" i="4"/>
  <c r="AG12" i="4" s="1"/>
  <c r="AN12" i="4" s="1"/>
  <c r="AC16" i="4"/>
  <c r="AG16" i="4" s="1"/>
  <c r="AN16" i="4" s="1"/>
  <c r="AA7" i="4"/>
  <c r="AE7" i="4" s="1"/>
  <c r="AA9" i="4"/>
  <c r="AE9" i="4" s="1"/>
  <c r="AL9" i="4" s="1"/>
  <c r="AA13" i="4"/>
  <c r="AE13" i="4" s="1"/>
  <c r="AL13" i="4" s="1"/>
  <c r="Z8" i="4"/>
  <c r="AD8" i="4" s="1"/>
  <c r="AB9" i="4"/>
  <c r="AF9" i="4" s="1"/>
  <c r="AM9" i="4" s="1"/>
  <c r="AB13" i="4"/>
  <c r="AF13" i="4" s="1"/>
  <c r="AM13" i="4" s="1"/>
  <c r="Z9" i="4"/>
  <c r="AD9" i="4" s="1"/>
  <c r="AC9" i="4"/>
  <c r="AG9" i="4" s="1"/>
  <c r="AN9" i="4" s="1"/>
  <c r="AC13" i="4"/>
  <c r="AG13" i="4" s="1"/>
  <c r="AN13" i="4" s="1"/>
  <c r="Z10" i="4"/>
  <c r="AD10" i="4" s="1"/>
  <c r="AA10" i="4"/>
  <c r="AE10" i="4" s="1"/>
  <c r="AL10" i="4" s="1"/>
  <c r="AA14" i="4"/>
  <c r="AE14" i="4" s="1"/>
  <c r="AL14" i="4" s="1"/>
  <c r="Z11" i="4"/>
  <c r="AD11" i="4" s="1"/>
  <c r="AC11" i="4"/>
  <c r="AG11" i="4" s="1"/>
  <c r="AN11" i="4" s="1"/>
  <c r="AB10" i="4"/>
  <c r="AF10" i="4" s="1"/>
  <c r="AM10" i="4" s="1"/>
  <c r="AB14" i="4"/>
  <c r="AF14" i="4" s="1"/>
  <c r="AM14" i="4" s="1"/>
  <c r="Z12" i="4"/>
  <c r="AD12" i="4" s="1"/>
  <c r="Z7" i="4"/>
  <c r="AD7" i="4" s="1"/>
  <c r="AC10" i="4"/>
  <c r="AG10" i="4" s="1"/>
  <c r="AN10" i="4" s="1"/>
  <c r="AC14" i="4"/>
  <c r="AG14" i="4" s="1"/>
  <c r="AN14" i="4" s="1"/>
  <c r="Z13" i="4"/>
  <c r="AD13" i="4" s="1"/>
  <c r="AC15" i="4"/>
  <c r="AG15" i="4" s="1"/>
  <c r="AN15" i="4" s="1"/>
  <c r="AA11" i="4"/>
  <c r="AE11" i="4" s="1"/>
  <c r="AL11" i="4" s="1"/>
  <c r="AA15" i="4"/>
  <c r="AE15" i="4" s="1"/>
  <c r="AL15" i="4" s="1"/>
  <c r="Z14" i="4"/>
  <c r="AD14" i="4" s="1"/>
  <c r="AB11" i="4"/>
  <c r="AF11" i="4" s="1"/>
  <c r="AM11" i="4" s="1"/>
  <c r="AB15" i="4"/>
  <c r="AF15" i="4" s="1"/>
  <c r="AM15" i="4" s="1"/>
  <c r="Z15" i="4"/>
  <c r="AD15" i="4" s="1"/>
  <c r="AC29" i="6"/>
  <c r="AG7" i="6"/>
  <c r="AA29" i="6"/>
  <c r="AE7" i="6"/>
  <c r="AB29" i="6"/>
  <c r="AF7" i="6"/>
  <c r="Z29" i="6"/>
  <c r="AD7" i="6"/>
  <c r="D15" i="15" l="1"/>
  <c r="E18" i="15"/>
  <c r="AO10" i="6"/>
  <c r="E20" i="15"/>
  <c r="AO12" i="6"/>
  <c r="E34" i="15"/>
  <c r="AO26" i="6"/>
  <c r="E21" i="15"/>
  <c r="AO13" i="6"/>
  <c r="AO17" i="6"/>
  <c r="E25" i="15"/>
  <c r="E19" i="15"/>
  <c r="AO11" i="6"/>
  <c r="E33" i="15"/>
  <c r="AO25" i="6"/>
  <c r="E36" i="15"/>
  <c r="AO28" i="6"/>
  <c r="E17" i="15"/>
  <c r="AO9" i="6"/>
  <c r="E27" i="15"/>
  <c r="AO19" i="6"/>
  <c r="E16" i="15"/>
  <c r="AO8" i="6"/>
  <c r="E35" i="15"/>
  <c r="AO27" i="6"/>
  <c r="E26" i="15"/>
  <c r="AO18" i="6"/>
  <c r="E24" i="15"/>
  <c r="AO16" i="6"/>
  <c r="H6" i="15"/>
  <c r="J6" i="15" s="1"/>
  <c r="E29" i="15"/>
  <c r="AO21" i="6"/>
  <c r="E32" i="15"/>
  <c r="AO24" i="6"/>
  <c r="E23" i="15"/>
  <c r="AO15" i="6"/>
  <c r="E28" i="15"/>
  <c r="AO20" i="6"/>
  <c r="E22" i="15"/>
  <c r="AO14" i="6"/>
  <c r="E31" i="15"/>
  <c r="AO23" i="6"/>
  <c r="E30" i="15"/>
  <c r="AO22" i="6"/>
  <c r="AK14" i="4"/>
  <c r="E12" i="15" s="1"/>
  <c r="D12" i="15"/>
  <c r="AK13" i="4"/>
  <c r="E11" i="15" s="1"/>
  <c r="D11" i="15"/>
  <c r="AK15" i="4"/>
  <c r="E13" i="15" s="1"/>
  <c r="D13" i="15"/>
  <c r="AK16" i="4"/>
  <c r="E14" i="15" s="1"/>
  <c r="D14" i="15"/>
  <c r="AK9" i="4"/>
  <c r="E7" i="15" s="1"/>
  <c r="D7" i="15"/>
  <c r="AK12" i="4"/>
  <c r="E10" i="15" s="1"/>
  <c r="D10" i="15"/>
  <c r="AK11" i="4"/>
  <c r="E9" i="15" s="1"/>
  <c r="I11" i="15" s="1"/>
  <c r="D9" i="15"/>
  <c r="H11" i="15" s="1"/>
  <c r="AK10" i="4"/>
  <c r="E8" i="15" s="1"/>
  <c r="D8" i="15"/>
  <c r="D6" i="15"/>
  <c r="AB17" i="4"/>
  <c r="AF7" i="4"/>
  <c r="AF17" i="4" s="1"/>
  <c r="AA17" i="4"/>
  <c r="AK8" i="4"/>
  <c r="AC17" i="4"/>
  <c r="Z17" i="4"/>
  <c r="AG17" i="4"/>
  <c r="AN7" i="4"/>
  <c r="AN17" i="4" s="1"/>
  <c r="AW7" i="4" s="1"/>
  <c r="AW8" i="4" s="1"/>
  <c r="AD29" i="6"/>
  <c r="AK7" i="6"/>
  <c r="AD17" i="4"/>
  <c r="AK7" i="4"/>
  <c r="AF29" i="6"/>
  <c r="AM7" i="6"/>
  <c r="AM29" i="6" s="1"/>
  <c r="AV7" i="6" s="1"/>
  <c r="AV8" i="6" s="1"/>
  <c r="AE29" i="6"/>
  <c r="AL7" i="6"/>
  <c r="AL29" i="6" s="1"/>
  <c r="AU7" i="6" s="1"/>
  <c r="AU8" i="6" s="1"/>
  <c r="AG29" i="6"/>
  <c r="AN7" i="6"/>
  <c r="AN29" i="6" s="1"/>
  <c r="AW7" i="6" s="1"/>
  <c r="AW8" i="6" s="1"/>
  <c r="AE17" i="4"/>
  <c r="AL7" i="4"/>
  <c r="AL17" i="4" s="1"/>
  <c r="AU7" i="4" s="1"/>
  <c r="AU8" i="4" s="1"/>
  <c r="I6" i="15" l="1"/>
  <c r="C33" i="2"/>
  <c r="AP15" i="6"/>
  <c r="AQ15" i="6" s="1"/>
  <c r="C26" i="2"/>
  <c r="AP8" i="6"/>
  <c r="AQ8" i="6" s="1"/>
  <c r="C42" i="2"/>
  <c r="AP24" i="6"/>
  <c r="AQ24" i="6" s="1"/>
  <c r="AP17" i="6"/>
  <c r="AQ17" i="6" s="1"/>
  <c r="C35" i="2"/>
  <c r="C37" i="2"/>
  <c r="AP19" i="6"/>
  <c r="AQ19" i="6" s="1"/>
  <c r="AP13" i="6"/>
  <c r="AQ13" i="6" s="1"/>
  <c r="C31" i="2"/>
  <c r="C40" i="2"/>
  <c r="AP22" i="6"/>
  <c r="AQ22" i="6" s="1"/>
  <c r="AP21" i="6"/>
  <c r="AQ21" i="6" s="1"/>
  <c r="C39" i="2"/>
  <c r="C27" i="2"/>
  <c r="AP9" i="6"/>
  <c r="AQ9" i="6" s="1"/>
  <c r="C44" i="2"/>
  <c r="AP26" i="6"/>
  <c r="AQ26" i="6" s="1"/>
  <c r="C29" i="2"/>
  <c r="AP11" i="6"/>
  <c r="AQ11" i="6" s="1"/>
  <c r="C34" i="2"/>
  <c r="AP16" i="6"/>
  <c r="AQ16" i="6" s="1"/>
  <c r="C46" i="2"/>
  <c r="AP28" i="6"/>
  <c r="AQ28" i="6" s="1"/>
  <c r="AP12" i="6"/>
  <c r="AQ12" i="6" s="1"/>
  <c r="C30" i="2"/>
  <c r="AP27" i="6"/>
  <c r="AQ27" i="6" s="1"/>
  <c r="C45" i="2"/>
  <c r="AP14" i="6"/>
  <c r="AQ14" i="6" s="1"/>
  <c r="C32" i="2"/>
  <c r="AP23" i="6"/>
  <c r="AQ23" i="6" s="1"/>
  <c r="C41" i="2"/>
  <c r="AP18" i="6"/>
  <c r="AQ18" i="6" s="1"/>
  <c r="C36" i="2"/>
  <c r="AP25" i="6"/>
  <c r="AQ25" i="6" s="1"/>
  <c r="C43" i="2"/>
  <c r="C28" i="2"/>
  <c r="AP10" i="6"/>
  <c r="AQ10" i="6" s="1"/>
  <c r="C38" i="2"/>
  <c r="AP20" i="6"/>
  <c r="AQ20" i="6" s="1"/>
  <c r="H5" i="15"/>
  <c r="H7" i="15"/>
  <c r="J7" i="15" s="1"/>
  <c r="I7" i="15"/>
  <c r="E15" i="15"/>
  <c r="AO13" i="4"/>
  <c r="C17" i="2" s="1"/>
  <c r="D17" i="2" s="1"/>
  <c r="E17" i="2" s="1"/>
  <c r="AO11" i="4"/>
  <c r="C15" i="2" s="1"/>
  <c r="D15" i="2" s="1"/>
  <c r="E15" i="2" s="1"/>
  <c r="AO15" i="4"/>
  <c r="C19" i="2" s="1"/>
  <c r="F19" i="2" s="1"/>
  <c r="AO10" i="4"/>
  <c r="C14" i="2" s="1"/>
  <c r="D14" i="2" s="1"/>
  <c r="E14" i="2" s="1"/>
  <c r="AO14" i="4"/>
  <c r="C18" i="2" s="1"/>
  <c r="D18" i="2" s="1"/>
  <c r="E18" i="2" s="1"/>
  <c r="AO16" i="4"/>
  <c r="C20" i="2" s="1"/>
  <c r="F20" i="2" s="1"/>
  <c r="AO9" i="4"/>
  <c r="C13" i="2" s="1"/>
  <c r="D13" i="2" s="1"/>
  <c r="E13" i="2" s="1"/>
  <c r="AO8" i="4"/>
  <c r="C12" i="2" s="1"/>
  <c r="D12" i="2" s="1"/>
  <c r="E12" i="2" s="1"/>
  <c r="E6" i="15"/>
  <c r="D5" i="15"/>
  <c r="AO12" i="4"/>
  <c r="C16" i="2" s="1"/>
  <c r="D16" i="2" s="1"/>
  <c r="E16" i="2" s="1"/>
  <c r="AM7" i="4"/>
  <c r="AM17" i="4" s="1"/>
  <c r="AV7" i="4" s="1"/>
  <c r="AV8" i="4" s="1"/>
  <c r="AK29" i="6"/>
  <c r="AT7" i="6" s="1"/>
  <c r="AT8" i="6" s="1"/>
  <c r="AT10" i="6" s="1"/>
  <c r="AO7" i="6"/>
  <c r="AK17" i="4"/>
  <c r="D34" i="2" l="1"/>
  <c r="E34" i="2" s="1"/>
  <c r="F34" i="2"/>
  <c r="G34" i="2" s="1"/>
  <c r="H34" i="2" s="1"/>
  <c r="F41" i="2"/>
  <c r="G41" i="2" s="1"/>
  <c r="H41" i="2" s="1"/>
  <c r="D41" i="2"/>
  <c r="E41" i="2" s="1"/>
  <c r="F37" i="2"/>
  <c r="G37" i="2" s="1"/>
  <c r="H37" i="2" s="1"/>
  <c r="D37" i="2"/>
  <c r="E37" i="2" s="1"/>
  <c r="F35" i="2"/>
  <c r="G35" i="2" s="1"/>
  <c r="H35" i="2" s="1"/>
  <c r="D35" i="2"/>
  <c r="E35" i="2" s="1"/>
  <c r="F31" i="2"/>
  <c r="G31" i="2" s="1"/>
  <c r="H31" i="2" s="1"/>
  <c r="D31" i="2"/>
  <c r="E31" i="2" s="1"/>
  <c r="F44" i="2"/>
  <c r="G44" i="2" s="1"/>
  <c r="H44" i="2" s="1"/>
  <c r="D44" i="2"/>
  <c r="E44" i="2" s="1"/>
  <c r="F45" i="2"/>
  <c r="G45" i="2" s="1"/>
  <c r="H45" i="2" s="1"/>
  <c r="D45" i="2"/>
  <c r="E45" i="2" s="1"/>
  <c r="D29" i="2"/>
  <c r="E29" i="2" s="1"/>
  <c r="F29" i="2"/>
  <c r="G29" i="2" s="1"/>
  <c r="H29" i="2" s="1"/>
  <c r="D38" i="2"/>
  <c r="E38" i="2" s="1"/>
  <c r="F38" i="2"/>
  <c r="G38" i="2" s="1"/>
  <c r="H38" i="2" s="1"/>
  <c r="D27" i="2"/>
  <c r="E27" i="2" s="1"/>
  <c r="F27" i="2"/>
  <c r="G27" i="2" s="1"/>
  <c r="H27" i="2" s="1"/>
  <c r="D42" i="2"/>
  <c r="E42" i="2" s="1"/>
  <c r="F42" i="2"/>
  <c r="G42" i="2" s="1"/>
  <c r="H42" i="2" s="1"/>
  <c r="F32" i="2"/>
  <c r="G32" i="2" s="1"/>
  <c r="H32" i="2" s="1"/>
  <c r="D32" i="2"/>
  <c r="E32" i="2" s="1"/>
  <c r="F39" i="2"/>
  <c r="G39" i="2" s="1"/>
  <c r="H39" i="2" s="1"/>
  <c r="D39" i="2"/>
  <c r="E39" i="2" s="1"/>
  <c r="D28" i="2"/>
  <c r="E28" i="2" s="1"/>
  <c r="F28" i="2"/>
  <c r="G28" i="2" s="1"/>
  <c r="H28" i="2" s="1"/>
  <c r="F26" i="2"/>
  <c r="G26" i="2" s="1"/>
  <c r="H26" i="2" s="1"/>
  <c r="D26" i="2"/>
  <c r="E26" i="2" s="1"/>
  <c r="F43" i="2"/>
  <c r="G43" i="2" s="1"/>
  <c r="H43" i="2" s="1"/>
  <c r="D43" i="2"/>
  <c r="E43" i="2" s="1"/>
  <c r="D36" i="2"/>
  <c r="E36" i="2" s="1"/>
  <c r="F36" i="2"/>
  <c r="G36" i="2" s="1"/>
  <c r="H36" i="2" s="1"/>
  <c r="D30" i="2"/>
  <c r="E30" i="2" s="1"/>
  <c r="F30" i="2"/>
  <c r="G30" i="2" s="1"/>
  <c r="H30" i="2" s="1"/>
  <c r="D46" i="2"/>
  <c r="E46" i="2" s="1"/>
  <c r="F46" i="2"/>
  <c r="G46" i="2" s="1"/>
  <c r="H46" i="2" s="1"/>
  <c r="D40" i="2"/>
  <c r="E40" i="2" s="1"/>
  <c r="F40" i="2"/>
  <c r="G40" i="2" s="1"/>
  <c r="H40" i="2" s="1"/>
  <c r="F33" i="2"/>
  <c r="G33" i="2" s="1"/>
  <c r="H33" i="2" s="1"/>
  <c r="D33" i="2"/>
  <c r="E33" i="2" s="1"/>
  <c r="H9" i="15"/>
  <c r="J9" i="15" s="1"/>
  <c r="D37" i="15"/>
  <c r="I5" i="15"/>
  <c r="J11" i="15"/>
  <c r="AP13" i="4"/>
  <c r="AQ13" i="4" s="1"/>
  <c r="F17" i="2"/>
  <c r="G17" i="2" s="1"/>
  <c r="H17" i="2" s="1"/>
  <c r="AP11" i="4"/>
  <c r="AQ11" i="4" s="1"/>
  <c r="AP10" i="4"/>
  <c r="AQ10" i="4" s="1"/>
  <c r="F15" i="2"/>
  <c r="G15" i="2" s="1"/>
  <c r="H15" i="2" s="1"/>
  <c r="F14" i="2"/>
  <c r="G14" i="2" s="1"/>
  <c r="H14" i="2" s="1"/>
  <c r="AP15" i="4"/>
  <c r="AQ15" i="4" s="1"/>
  <c r="D19" i="2"/>
  <c r="E19" i="2" s="1"/>
  <c r="F18" i="2"/>
  <c r="G18" i="2" s="1"/>
  <c r="H18" i="2" s="1"/>
  <c r="F12" i="2"/>
  <c r="G12" i="2" s="1"/>
  <c r="H12" i="2" s="1"/>
  <c r="AP9" i="4"/>
  <c r="AQ9" i="4" s="1"/>
  <c r="AP8" i="4"/>
  <c r="AQ8" i="4" s="1"/>
  <c r="F13" i="2"/>
  <c r="G13" i="2" s="1"/>
  <c r="H13" i="2" s="1"/>
  <c r="AP14" i="4"/>
  <c r="AQ14" i="4" s="1"/>
  <c r="AP16" i="4"/>
  <c r="AQ16" i="4" s="1"/>
  <c r="D20" i="2"/>
  <c r="E20" i="2" s="1"/>
  <c r="F16" i="2"/>
  <c r="G16" i="2" s="1"/>
  <c r="H16" i="2" s="1"/>
  <c r="E5" i="15"/>
  <c r="J5" i="15"/>
  <c r="K6" i="15"/>
  <c r="AP12" i="4"/>
  <c r="AQ12" i="4" s="1"/>
  <c r="G20" i="2"/>
  <c r="H20" i="2" s="1"/>
  <c r="G19" i="2"/>
  <c r="H19" i="2" s="1"/>
  <c r="AO7" i="4"/>
  <c r="AP7" i="4" s="1"/>
  <c r="AT7" i="4"/>
  <c r="AT8" i="4" s="1"/>
  <c r="AT10" i="4" s="1"/>
  <c r="AO29" i="6"/>
  <c r="AP7" i="6"/>
  <c r="AP29" i="6" s="1"/>
  <c r="C25" i="2"/>
  <c r="AT12" i="6"/>
  <c r="AT14" i="6" s="1"/>
  <c r="AT11" i="6"/>
  <c r="D6" i="2"/>
  <c r="I9" i="15" l="1"/>
  <c r="K9" i="15" s="1"/>
  <c r="E37" i="15"/>
  <c r="E6" i="2"/>
  <c r="H13" i="15"/>
  <c r="L5" i="15" s="1"/>
  <c r="K11" i="15"/>
  <c r="J13" i="15"/>
  <c r="K5" i="15"/>
  <c r="AP17" i="4"/>
  <c r="AO17" i="4"/>
  <c r="C11" i="2"/>
  <c r="AQ7" i="4"/>
  <c r="AQ17" i="4" s="1"/>
  <c r="AQ7" i="6"/>
  <c r="AQ29" i="6" s="1"/>
  <c r="AT13" i="6"/>
  <c r="AT15" i="6" s="1"/>
  <c r="F6" i="2"/>
  <c r="G6" i="2" s="1"/>
  <c r="C47" i="2"/>
  <c r="F25" i="2"/>
  <c r="D25" i="2"/>
  <c r="D47" i="2" s="1"/>
  <c r="AT11" i="4"/>
  <c r="D5" i="2"/>
  <c r="AT12" i="4"/>
  <c r="H6" i="2" l="1"/>
  <c r="I6" i="2" s="1"/>
  <c r="I13" i="15"/>
  <c r="M11" i="15" s="1"/>
  <c r="L9" i="15"/>
  <c r="L10" i="15"/>
  <c r="L7" i="15"/>
  <c r="L11" i="15"/>
  <c r="L6" i="15"/>
  <c r="L8" i="15"/>
  <c r="K7" i="15"/>
  <c r="K13" i="15" s="1"/>
  <c r="D11" i="2"/>
  <c r="D21" i="2" s="1"/>
  <c r="C21" i="2"/>
  <c r="F11" i="2"/>
  <c r="E5" i="2"/>
  <c r="E7" i="2" s="1"/>
  <c r="D7" i="2"/>
  <c r="E25" i="2"/>
  <c r="E47" i="2" s="1"/>
  <c r="AT13" i="4"/>
  <c r="AT15" i="4" s="1"/>
  <c r="F5" i="2"/>
  <c r="H5" i="2" s="1"/>
  <c r="G25" i="2"/>
  <c r="G47" i="2" s="1"/>
  <c r="F47" i="2"/>
  <c r="AT14" i="4"/>
  <c r="I41" i="2" l="1"/>
  <c r="I26" i="2"/>
  <c r="I30" i="2"/>
  <c r="I35" i="2"/>
  <c r="I42" i="2"/>
  <c r="I44" i="2"/>
  <c r="I29" i="2"/>
  <c r="I43" i="2"/>
  <c r="I33" i="2"/>
  <c r="I45" i="2"/>
  <c r="I32" i="2"/>
  <c r="I28" i="2"/>
  <c r="I46" i="2"/>
  <c r="I39" i="2"/>
  <c r="I40" i="2"/>
  <c r="I37" i="2"/>
  <c r="I31" i="2"/>
  <c r="I27" i="2"/>
  <c r="I38" i="2"/>
  <c r="I34" i="2"/>
  <c r="I36" i="2"/>
  <c r="H7" i="2"/>
  <c r="I5" i="2"/>
  <c r="I7" i="2" s="1"/>
  <c r="M7" i="15"/>
  <c r="L13" i="15"/>
  <c r="M9" i="15"/>
  <c r="M6" i="15"/>
  <c r="M10" i="15"/>
  <c r="M8" i="15"/>
  <c r="M5" i="15"/>
  <c r="E11" i="2"/>
  <c r="E21" i="2" s="1"/>
  <c r="G11" i="2"/>
  <c r="G21" i="2" s="1"/>
  <c r="F21" i="2"/>
  <c r="I11" i="2"/>
  <c r="H25" i="2"/>
  <c r="H47" i="2" s="1"/>
  <c r="I15" i="2"/>
  <c r="I19" i="2"/>
  <c r="I16" i="2"/>
  <c r="I13" i="2"/>
  <c r="I14" i="2"/>
  <c r="I17" i="2"/>
  <c r="I12" i="2"/>
  <c r="I18" i="2"/>
  <c r="I20" i="2"/>
  <c r="I25" i="2"/>
  <c r="G5" i="2"/>
  <c r="G7" i="2" s="1"/>
  <c r="F7" i="2"/>
  <c r="F11" i="1" l="1"/>
  <c r="G11" i="1" s="1"/>
  <c r="M13" i="15"/>
  <c r="H11" i="2"/>
  <c r="H21" i="2" s="1"/>
  <c r="I21" i="2"/>
  <c r="I47" i="2"/>
</calcChain>
</file>

<file path=xl/sharedStrings.xml><?xml version="1.0" encoding="utf-8"?>
<sst xmlns="http://schemas.openxmlformats.org/spreadsheetml/2006/main" count="866" uniqueCount="339">
  <si>
    <t>PLANILHA DETALHADA DE FORMAÇÃO DE PREÇO</t>
  </si>
  <si>
    <t>NÃO DESONERADA</t>
  </si>
  <si>
    <t>ITEM</t>
  </si>
  <si>
    <t>DESCRIÇÃO DO SERVIÇO</t>
  </si>
  <si>
    <t>UN.</t>
  </si>
  <si>
    <t>QTE.</t>
  </si>
  <si>
    <t>PREÇO UNITÁRIO (R$)</t>
  </si>
  <si>
    <t>PREÇO ANUAL (R$)</t>
  </si>
  <si>
    <t>Mês</t>
  </si>
  <si>
    <t>BASE</t>
  </si>
  <si>
    <t>ÁREA TOTAL (m²)</t>
  </si>
  <si>
    <t>CUSTO MÉDIO MENSAL (PREVENTIVA)</t>
  </si>
  <si>
    <t>CUSTO ANUAL (PREVENTIVA)</t>
  </si>
  <si>
    <t>CUSTO MÉDIO MENSAL (CORRETIVA)</t>
  </si>
  <si>
    <t>CUSTO ANUAL (CORRETIVA)</t>
  </si>
  <si>
    <t>CUSTO MÉDIO MENSAL MANUTENÇÃO</t>
  </si>
  <si>
    <t>CUSTO ANUAL MANUTENÇÃO</t>
  </si>
  <si>
    <t>Custo Médio Mensal</t>
  </si>
  <si>
    <t>Custo Anual</t>
  </si>
  <si>
    <t>Percentual por unidade</t>
  </si>
  <si>
    <t>Preventiva</t>
  </si>
  <si>
    <t>Corretiva</t>
  </si>
  <si>
    <t>Total</t>
  </si>
  <si>
    <t>%</t>
  </si>
  <si>
    <t>Valores SINAPI*</t>
  </si>
  <si>
    <t>Engenheiro Civil (ref. SINAPI/90778)</t>
  </si>
  <si>
    <t>Engenheiro eletricista (ref. SINAPI/91677)</t>
  </si>
  <si>
    <t>Auxiliar Técnico (ref. SINAPI/88255)</t>
  </si>
  <si>
    <t>Quantidade de horas/mês</t>
  </si>
  <si>
    <t>Custo mensal</t>
  </si>
  <si>
    <t>Custo anual</t>
  </si>
  <si>
    <t>CUSTO POR PERÍODO (Sem BDI)</t>
  </si>
  <si>
    <t>Custo mensal da equipe</t>
  </si>
  <si>
    <t>Custo anual da equipe</t>
  </si>
  <si>
    <t>UNIDADE</t>
  </si>
  <si>
    <t>Área (m²)</t>
  </si>
  <si>
    <t>Horas</t>
  </si>
  <si>
    <t>GEX / APS</t>
  </si>
  <si>
    <t>Custo da equipe em execução por rotina</t>
  </si>
  <si>
    <t>Custos mensais</t>
  </si>
  <si>
    <t>Custo Equipe técnica</t>
  </si>
  <si>
    <t>Custo total por rotina (SEM BDI)</t>
  </si>
  <si>
    <t>Custo total por rotina (COM BDI)</t>
  </si>
  <si>
    <t>Custo Mensal de Manutenção por unidade</t>
  </si>
  <si>
    <t>Uso constante</t>
  </si>
  <si>
    <t>Uso esporádico</t>
  </si>
  <si>
    <t>Ociosa</t>
  </si>
  <si>
    <t>Área corrigida</t>
  </si>
  <si>
    <t>horas p visita mensal (h)</t>
  </si>
  <si>
    <t>horas p visita trimestral (h)</t>
  </si>
  <si>
    <t>Possui hidrante?</t>
  </si>
  <si>
    <t>Possui subestação?</t>
  </si>
  <si>
    <t>horas p visita semestral(h)</t>
  </si>
  <si>
    <t>horas p visita anual(h)</t>
  </si>
  <si>
    <t>Total horas p/ ano</t>
  </si>
  <si>
    <t>Mensal</t>
  </si>
  <si>
    <t>Trimestral</t>
  </si>
  <si>
    <t>Semestral</t>
  </si>
  <si>
    <t>Anual</t>
  </si>
  <si>
    <t>Equipe em desl.</t>
  </si>
  <si>
    <t>Pernoite</t>
  </si>
  <si>
    <t>Pedágio</t>
  </si>
  <si>
    <t>Veículo</t>
  </si>
  <si>
    <t>Total de horas de execução do Polo:</t>
  </si>
  <si>
    <t>BDI</t>
  </si>
  <si>
    <t>Custo Médio Mensal Preventiva</t>
  </si>
  <si>
    <t>Custo Médio Mensal Corretiva</t>
  </si>
  <si>
    <t>Custo Médio Mensal Manunteção</t>
  </si>
  <si>
    <t>Custos / Rotinas</t>
  </si>
  <si>
    <t>coeficiente</t>
  </si>
  <si>
    <t>12 rotinas</t>
  </si>
  <si>
    <t>4 rotinas</t>
  </si>
  <si>
    <t>2 rotinas</t>
  </si>
  <si>
    <t>1 rotina</t>
  </si>
  <si>
    <t>Custo por tipo de rotina</t>
  </si>
  <si>
    <t>Custo Anual por tipo de rotina</t>
  </si>
  <si>
    <t>Custo Anual Preventiva</t>
  </si>
  <si>
    <t>Custo Anual Corretiva</t>
  </si>
  <si>
    <t>Custo Médio Mensal Manutenção</t>
  </si>
  <si>
    <t>Custo Anual Manutenção</t>
  </si>
  <si>
    <t>TOTAL</t>
  </si>
  <si>
    <t>Eletrotécnico (ref. SINAPI/88266)</t>
  </si>
  <si>
    <t>Rotas</t>
  </si>
  <si>
    <t>Trecho 1 (Km)</t>
  </si>
  <si>
    <t>Trecho 2 (Km)</t>
  </si>
  <si>
    <t>Trecho 3 (Km)</t>
  </si>
  <si>
    <t>Total (Km)</t>
  </si>
  <si>
    <t>Trecho 1 (min)</t>
  </si>
  <si>
    <t>Trecho 2 (min)</t>
  </si>
  <si>
    <t>Trecho 3 (min)</t>
  </si>
  <si>
    <t>Total (min)</t>
  </si>
  <si>
    <t>Total (horas)</t>
  </si>
  <si>
    <t>Pedágio (ida e volta) *</t>
  </si>
  <si>
    <t>Unidades na rota</t>
  </si>
  <si>
    <t>Média horas p/ unidade</t>
  </si>
  <si>
    <t>Média pedágio p/ unidade</t>
  </si>
  <si>
    <t>Custo do Veículo</t>
  </si>
  <si>
    <t>Composição*</t>
  </si>
  <si>
    <t>Descrição</t>
  </si>
  <si>
    <t>Unidade</t>
  </si>
  <si>
    <t>Valor</t>
  </si>
  <si>
    <t>92145/SINAPI</t>
  </si>
  <si>
    <t>CAMINHONETE CABINE SIMPLES</t>
  </si>
  <si>
    <t>CHP</t>
  </si>
  <si>
    <t>92146/SINAPI</t>
  </si>
  <si>
    <t>CHI</t>
  </si>
  <si>
    <t>* Nas composições utilizadas foram retirados os custos com motorista, pelo fato da própria equipe conduzir o veículo. A composição detalhada encontra-se em planilha apartada.</t>
  </si>
  <si>
    <t>Custo Mensal do Veículo</t>
  </si>
  <si>
    <t>Pedágios</t>
  </si>
  <si>
    <t>Pedágio (ida e volta)</t>
  </si>
  <si>
    <t>COMPOSIÇÃO CUSTO DO VEÍCULO</t>
  </si>
  <si>
    <t>Código</t>
  </si>
  <si>
    <t>92145</t>
  </si>
  <si>
    <t>CAMINHONETE CABINE SIMPLES COM MOTOR 1.6 FLEX, CÂMBIO MANUAL, POTÊNCIA 101/104 CV, 2 PORTAS - CHP DIURNO. AF_11/2015</t>
  </si>
  <si>
    <t>Data</t>
  </si>
  <si>
    <t>Estado</t>
  </si>
  <si>
    <t>Tipo</t>
  </si>
  <si>
    <t>CHOR - CUSTOS HORÁRIOS DE MÁQUINAS E EQUIPAMENTOS</t>
  </si>
  <si>
    <t>Valor Não Desonerado</t>
  </si>
  <si>
    <t>Coeficiente</t>
  </si>
  <si>
    <t>C</t>
  </si>
  <si>
    <t>H</t>
  </si>
  <si>
    <t>1,0</t>
  </si>
  <si>
    <t>92140</t>
  </si>
  <si>
    <t>CAMINHONETE CABINE SIMPLES COM MOTOR 1.6 FLEX, CÂMBIO MANUAL, POTÊNCIA 101/104 CV, 2 PORTAS - DEPRECIAÇÃO. AF_11/2015</t>
  </si>
  <si>
    <t>92141</t>
  </si>
  <si>
    <t>CAMINHONETE CABINE SIMPLES COM MOTOR 1.6 FLEX, CÂMBIO MANUAL, POTÊNCIA 101/104 CV, 2 PORTAS - JUROS. AF_11/2015</t>
  </si>
  <si>
    <t>92142</t>
  </si>
  <si>
    <t>CAMINHONETE CABINE SIMPLES COM MOTOR 1.6 FLEX, CÂMBIO MANUAL, POTÊNCIA 101/104 CV, 2 PORTAS - IMPOSTOS E SEGUROS. AF_11/2015</t>
  </si>
  <si>
    <t>92143</t>
  </si>
  <si>
    <t>CAMINHONETE CABINE SIMPLES COM MOTOR 1.6 FLEX, CÂMBIO MANUAL, POTÊNCIA 101/104 CV, 2 PORTAS - MANUTENÇÃO. AF_11/2015</t>
  </si>
  <si>
    <t>92144</t>
  </si>
  <si>
    <t>CAMINHONETE CABINE SIMPLES COM MOTOR 1.6 FLEX, CÂMBIO MANUAL, POTÊNCIA 101/104 CV, 2 PORTAS - MATERIAIS NA OPERAÇÃO. AF_11/2015</t>
  </si>
  <si>
    <t>Composição ALTERADA SINAPI – 92145 (SEM MOTORISTA)</t>
  </si>
  <si>
    <t>codigo</t>
  </si>
  <si>
    <t>92146</t>
  </si>
  <si>
    <t>CAMINHONETE CABINE SIMPLES COM MOTOR 1.6 FLEX, CÂMBIO MANUAL, POTÊNCIA 101/104 CV, 2 PORTAS - CHI DIURNO. AF_11/2015</t>
  </si>
  <si>
    <t>Composição ALTERADA SINAPI – 92146 (SEM MOTORISTA)</t>
  </si>
  <si>
    <t>GERÊNCIA</t>
  </si>
  <si>
    <t>ENDEREÇO</t>
  </si>
  <si>
    <t>TEMPO DE DESLOCAMENTO IDA E VOLTA DA BASE EM HORAS</t>
  </si>
  <si>
    <t>ISS</t>
  </si>
  <si>
    <t>ÁREA CONSTRUÍDA (M²)</t>
  </si>
  <si>
    <t>Uso constante
(M²)</t>
  </si>
  <si>
    <t>Uso esporádico (M²)</t>
  </si>
  <si>
    <t>Ociosa (M²)</t>
  </si>
  <si>
    <t>HIDRANTE</t>
  </si>
  <si>
    <t>SUBESTAÇÃO</t>
  </si>
  <si>
    <t>NÃO</t>
  </si>
  <si>
    <t>SIM</t>
  </si>
  <si>
    <t>PLANILHA DE COMPOSIÇÃO DAS TAXAS DE BONIFICAÇÃO E DESPESAS INDIRETAS (BDI)</t>
  </si>
  <si>
    <t>Fórmula utilizada no Acórdão TCU 2622/2013</t>
  </si>
  <si>
    <t>BDI = (((1+AC+S+R+G)*(1+DF)*(1+L)) / (1-I)) -1</t>
  </si>
  <si>
    <t>onde:</t>
  </si>
  <si>
    <t>AC = Taxa de Administração Central</t>
  </si>
  <si>
    <t>S = Taxa de Seguros</t>
  </si>
  <si>
    <t>R = Taxa de Riscos</t>
  </si>
  <si>
    <t>G = Taxa de Garantias (incluída no seguro)</t>
  </si>
  <si>
    <t>DF = Taxa de Despesas Financeiras</t>
  </si>
  <si>
    <t>L = Taxa de Lucro/Remuneração</t>
  </si>
  <si>
    <t>I = Taxa de Incidência de Impostos (PIS, COFINS, ISS e CPRB)</t>
  </si>
  <si>
    <t>ESTIMATIVA DE COMPOSIÇÃO DA TAXA DE BDI PARA OBRAS E SERVIÇOS</t>
  </si>
  <si>
    <t>BDI CALCULADO</t>
  </si>
  <si>
    <t>BDI ADOTADO</t>
  </si>
  <si>
    <t>ESTIMATIVA DE COMPOSIÇÃO DA TAXA DE BDI PARA EQUIPAMENTOS</t>
  </si>
  <si>
    <t>ISS do município</t>
  </si>
  <si>
    <t>Custo anual preventiva SEM BDI</t>
  </si>
  <si>
    <t>Custo anual preventiva COM BDI</t>
  </si>
  <si>
    <t>Alíquota ISS (%)</t>
  </si>
  <si>
    <t>Preventiva Sem BDI</t>
  </si>
  <si>
    <t>Preventiva Com BDI</t>
  </si>
  <si>
    <t>Valor total sem BDI</t>
  </si>
  <si>
    <t>Valor total com BDI</t>
  </si>
  <si>
    <t>% sem BDI</t>
  </si>
  <si>
    <t>% com BDI</t>
  </si>
  <si>
    <t>AC</t>
  </si>
  <si>
    <t>AC = TAXA DE ADMINISTRAÇÃO CENTRAL</t>
  </si>
  <si>
    <t>DF</t>
  </si>
  <si>
    <t>DF = TAXA DE DESPESAS FINANCEIRAS</t>
  </si>
  <si>
    <t>S+G</t>
  </si>
  <si>
    <t>S+G = TAXA DE SEGUROS + GARANTIAS</t>
  </si>
  <si>
    <t>R</t>
  </si>
  <si>
    <t>R = TAXA DE RISCOS</t>
  </si>
  <si>
    <t>L</t>
  </si>
  <si>
    <t>L = TAXA DE LUCRO/REMUNERAÇÃO</t>
  </si>
  <si>
    <t>I</t>
  </si>
  <si>
    <t>PIS</t>
  </si>
  <si>
    <t>COFINS</t>
  </si>
  <si>
    <t>CPRB</t>
  </si>
  <si>
    <t>CAXIAS DO SUL</t>
  </si>
  <si>
    <t>APS BENTO GONÇALVES</t>
  </si>
  <si>
    <t>Rua Júlio de Castilhos, 291</t>
  </si>
  <si>
    <t>APS CANELA</t>
  </si>
  <si>
    <t>Rua Dona Carlinda, 810</t>
  </si>
  <si>
    <t>APS CARLOS BARBOSA</t>
  </si>
  <si>
    <t>Rua Vereador Ubaldo Baldasso, 268</t>
  </si>
  <si>
    <t>APS FARROUPILHA</t>
  </si>
  <si>
    <t>Rua Coronel Pena de Moraes, 59-A</t>
  </si>
  <si>
    <t>APS FLORES DA CUNHA</t>
  </si>
  <si>
    <t>Rua Borges de Medeiros, 2110</t>
  </si>
  <si>
    <t>APS GARIBALDI</t>
  </si>
  <si>
    <t>Rua João Missiaggia, 159</t>
  </si>
  <si>
    <t>ARQUIVO RUA MARQUÊS DO HERVAL</t>
  </si>
  <si>
    <t>Rua Marquês do Herval, 761</t>
  </si>
  <si>
    <t>CEDOCPREV CAXIAS DO SUL</t>
  </si>
  <si>
    <t>Av. da Vindima, 165</t>
  </si>
  <si>
    <t>GEX/APS CAXIAS DO SUL</t>
  </si>
  <si>
    <t>Rua Visconde de Pelotas, 2280</t>
  </si>
  <si>
    <t>CANOAS</t>
  </si>
  <si>
    <t>APS TORRES</t>
  </si>
  <si>
    <t>Av. do Riacho, 235</t>
  </si>
  <si>
    <t>NOVO HAMBURGO</t>
  </si>
  <si>
    <t>DEPÓSITO NOVO HAMBURGO</t>
  </si>
  <si>
    <t>Rua Bento Gonçalves, 1891, Centro</t>
  </si>
  <si>
    <t>APS CAMPO BOM</t>
  </si>
  <si>
    <t>Rua Rodolfo Dick, 129, Centro</t>
  </si>
  <si>
    <t>APS DOIS IRMÃOS</t>
  </si>
  <si>
    <t>Av. Sapiranga, 665, Centro</t>
  </si>
  <si>
    <t>APS Encantado</t>
  </si>
  <si>
    <t>Rua João Luca, 186 / Duque de Caxias, Centro</t>
  </si>
  <si>
    <t>APS ESTRELA</t>
  </si>
  <si>
    <t>Av. Barão do Rio Branco, 553, Centro</t>
  </si>
  <si>
    <t>APS IGREJINHA</t>
  </si>
  <si>
    <t>Rua Arthur Fetter, S/N, Centro</t>
  </si>
  <si>
    <t>APS LAJEADO</t>
  </si>
  <si>
    <t>Rua Cel. Júlio May, 477, Centro</t>
  </si>
  <si>
    <t>APS MONTENEGRO</t>
  </si>
  <si>
    <t>Rua Olávo Bilac, 1284, Centro</t>
  </si>
  <si>
    <t>APS NOVO HAMBURGO</t>
  </si>
  <si>
    <t>Av. Pedro Adams Filho, 5757, Térreo, Centro</t>
  </si>
  <si>
    <t>APS PORTÃO</t>
  </si>
  <si>
    <t>Rua Rondônia, 233</t>
  </si>
  <si>
    <t>APS SÃO LEOPOLDO</t>
  </si>
  <si>
    <t>Rua Conceição, 364, Centro</t>
  </si>
  <si>
    <t>APS SÃO SEBASTIÃO DO CAÍ</t>
  </si>
  <si>
    <t>Rua Benjamin Constant, 182, Centro</t>
  </si>
  <si>
    <t>APS SAPIRANGA</t>
  </si>
  <si>
    <t>Av. João Correa, 1622, Centro</t>
  </si>
  <si>
    <t>APS TAQUARA</t>
  </si>
  <si>
    <t>Rua Guilherme Lahm, 1508, Centro</t>
  </si>
  <si>
    <t>APS TAQUARI</t>
  </si>
  <si>
    <t>Rua Osvaldo Aranha, 2536, Centro</t>
  </si>
  <si>
    <t>APS TEUTÔNIA</t>
  </si>
  <si>
    <t>Av. Um Norte, 315, Centro</t>
  </si>
  <si>
    <t>APS TRÊS COROAS</t>
  </si>
  <si>
    <t>Rua Felipe Bender, S/N, Centro</t>
  </si>
  <si>
    <t>GEX NOVO HAMBURGO</t>
  </si>
  <si>
    <t>Rua Tamandaré, 221, Pátria Nova</t>
  </si>
  <si>
    <t>APS BUTIÁ</t>
  </si>
  <si>
    <t>Av. Leandro de Almeida, 356</t>
  </si>
  <si>
    <t>APS OSÓRIO</t>
  </si>
  <si>
    <t>Rua Firmiano Osório, 949, Centro</t>
  </si>
  <si>
    <t>APS SANTO ANTÔNIO DA PATRULHA</t>
  </si>
  <si>
    <t>Rua Coronel Vitor Villa-Verde, 2, Centro</t>
  </si>
  <si>
    <t>APS SÃO JERÔNIMO</t>
  </si>
  <si>
    <t>Rua Rio Branco, 384, Centro</t>
  </si>
  <si>
    <t>Rio Grande do Sul</t>
  </si>
  <si>
    <t>Preços pesquisados em 20/10/2023</t>
  </si>
  <si>
    <t>POLO VIII</t>
  </si>
  <si>
    <t>Serviço de manutenção predial preventiva e corretiva por demanda, com fornecimento de materiais, peças e componentes, nos imóveis relacionados no Polo Regional VIII.</t>
  </si>
  <si>
    <t>* Tabela SINAPI Outubro/2023 (Não Desonerado)</t>
  </si>
  <si>
    <t>RIO GRANDE DO SUL</t>
  </si>
  <si>
    <t>Categoria</t>
  </si>
  <si>
    <t>Oficial (*)</t>
  </si>
  <si>
    <t>Convenção coletiva</t>
  </si>
  <si>
    <r>
      <rPr>
        <sz val="11"/>
        <color rgb="FF000000"/>
        <rFont val="Arial"/>
        <family val="2"/>
        <charset val="1"/>
      </rPr>
      <t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>RS003085/2023</t>
    </r>
  </si>
  <si>
    <t>Data base</t>
  </si>
  <si>
    <t>Abrangência</t>
  </si>
  <si>
    <t>Trabalhadores das indústrias da construção civil de Porto Alegre/RS e região</t>
  </si>
  <si>
    <t>Salário base (SB)</t>
  </si>
  <si>
    <t>Encargos Sociais (**) - (ES)
Apêndice 21: Encargos Sociais – Rio Grande do Sul</t>
  </si>
  <si>
    <t>Horista Desonerado</t>
  </si>
  <si>
    <t>Mensalista Desonerado</t>
  </si>
  <si>
    <t>Horista Não Desonerado</t>
  </si>
  <si>
    <t>Mensalista Não Desonerado</t>
  </si>
  <si>
    <t>Cálculo custo do funcionário (***)</t>
  </si>
  <si>
    <r>
      <rPr>
        <sz val="11"/>
        <color rgb="FF000000"/>
        <rFont val="Arial"/>
        <family val="2"/>
        <charset val="1"/>
      </rPr>
      <t>Mensalista Desonerado (M</t>
    </r>
    <r>
      <rPr>
        <vertAlign val="subscript"/>
        <sz val="10"/>
        <rFont val="Arial"/>
        <family val="2"/>
        <charset val="1"/>
      </rPr>
      <t>desonerado</t>
    </r>
    <r>
      <rPr>
        <sz val="11"/>
        <color rgb="FF00000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desonerado</t>
    </r>
    <r>
      <rPr>
        <sz val="11"/>
        <color rgb="FF000000"/>
        <rFont val="Arial"/>
        <family val="2"/>
        <charset val="1"/>
      </rPr>
      <t>))</t>
    </r>
  </si>
  <si>
    <r>
      <rPr>
        <sz val="11"/>
        <color rgb="FF000000"/>
        <rFont val="Arial"/>
        <family val="2"/>
        <charset val="1"/>
      </rPr>
      <t>Mensalista Não desonerado (M</t>
    </r>
    <r>
      <rPr>
        <vertAlign val="subscript"/>
        <sz val="10"/>
        <rFont val="Arial"/>
        <family val="2"/>
        <charset val="1"/>
      </rPr>
      <t>não_desonerado</t>
    </r>
    <r>
      <rPr>
        <sz val="11"/>
        <color rgb="FF00000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não_desonerado</t>
    </r>
    <r>
      <rPr>
        <sz val="11"/>
        <color rgb="FF000000"/>
        <rFont val="Arial"/>
        <family val="2"/>
        <charset val="1"/>
      </rPr>
      <t>))</t>
    </r>
  </si>
  <si>
    <r>
      <rPr>
        <sz val="11"/>
        <color rgb="FF000000"/>
        <rFont val="Arial"/>
        <family val="2"/>
        <charset val="1"/>
      </rPr>
      <t>Horista Desonerado (****) - H</t>
    </r>
    <r>
      <rPr>
        <vertAlign val="subscript"/>
        <sz val="10"/>
        <rFont val="Arial"/>
        <family val="2"/>
        <charset val="1"/>
      </rPr>
      <t>desonerado</t>
    </r>
  </si>
  <si>
    <r>
      <rPr>
        <sz val="11"/>
        <color rgb="FF000000"/>
        <rFont val="Arial"/>
        <family val="2"/>
        <charset val="1"/>
      </rPr>
      <t>Horista Não Desonerado (****) - H</t>
    </r>
    <r>
      <rPr>
        <vertAlign val="subscript"/>
        <sz val="10"/>
        <rFont val="Arial"/>
        <family val="2"/>
        <charset val="1"/>
      </rPr>
      <t>não_desonerado</t>
    </r>
  </si>
  <si>
    <t>(*) Descrição da categoria na CCT</t>
  </si>
  <si>
    <t>(**) Fonte: Livro SINAPI: Referências para Custos Horários e Encargos: Sistema Nacional de Pesquisa de Custos e Índices da Construção Civil / Caixa Econômica Federal. – 5ª Ed. – Brasília: CAIXA, 2022.</t>
  </si>
  <si>
    <t xml:space="preserve">(***) Fonte: SINAPI: Metodologias e Conceitos: Sistema Nacional de Pesquisa de Custos e Índices da Construção Civil / Caixa Econômica Federal. – 9ª Ed. – Brasília: CAIXA, 2023.
</t>
  </si>
  <si>
    <t>(****) Fórmula para cálculo do custo do horista, com base no custo do mensalista (Livro Metodologias e Conceitos, página 82)</t>
  </si>
  <si>
    <t>COMPOSIÇÃO CUSTO OFICIAL DE MANUTENÇÃO PREDIAL (CBO 5143-25)</t>
  </si>
  <si>
    <t>Composição ALTERADA SINAPI – 88264</t>
  </si>
  <si>
    <t>OFICIAL DE MANUTENÇÃO PREDIAL COM ENCARGOS COMPLEMENTARES (CBO 5143-25)</t>
  </si>
  <si>
    <t>10/2023</t>
  </si>
  <si>
    <t>SEDI - SERVIÇOS DIVERSOS</t>
  </si>
  <si>
    <t>Valor Unitário Não Desonerado</t>
  </si>
  <si>
    <t>CURSO DE CAPACITAÇÃO PARA ELETRICISTA (ENCARGOS COMPLEMENTARES) - HORISTA</t>
  </si>
  <si>
    <t>Pesquisa de mercado</t>
  </si>
  <si>
    <r>
      <rPr>
        <sz val="10"/>
        <color rgb="FF000000"/>
        <rFont val="Arial"/>
        <family val="1"/>
        <charset val="1"/>
      </rPr>
      <t xml:space="preserve">OFICIAL DE MANUTENÇÃO PREDIAL (OFICIAL/PROFISSIONAL CCT </t>
    </r>
    <r>
      <rPr>
        <sz val="10"/>
        <color rgb="FF000000"/>
        <rFont val="Arial;Arial"/>
        <family val="2"/>
        <charset val="1"/>
      </rPr>
      <t>SC001231/2023 /</t>
    </r>
    <r>
      <rPr>
        <sz val="10"/>
        <color rgb="FF000000"/>
        <rFont val="Arial"/>
        <family val="1"/>
        <charset val="1"/>
      </rPr>
      <t xml:space="preserve"> CBO 5413-25)</t>
    </r>
  </si>
  <si>
    <t>Mão de Obra</t>
  </si>
  <si>
    <t>ALIMENTACAO - HORISTA (COLETADO CAIXA - ENCARGOS COMPLEMENTARES)</t>
  </si>
  <si>
    <t>Outros</t>
  </si>
  <si>
    <t>TRANSPORTE - HORISTA (COLETADO CAIXA - ENCARGOS COMPLEMENTARES)</t>
  </si>
  <si>
    <t>Serviços</t>
  </si>
  <si>
    <t>EXAMES - HORISTA (COLETADO CAIXA - ENCARGOS COMPLEMENTARES)</t>
  </si>
  <si>
    <t>SEGURO - HORISTA (COLETADO CAIXA - ENCARGOS COMPLEMENTARES)</t>
  </si>
  <si>
    <t>Taxas</t>
  </si>
  <si>
    <t>FERRAMENTAS - FAMILIA ELETRICISTA - HORISTA (ENCARGOS COMPLEMENTARES - COLETADO CAIXA)</t>
  </si>
  <si>
    <t>Equipamento</t>
  </si>
  <si>
    <t>FERRAMENTAS - FAMILIA ENCANADOR - HORISTA (ENCARGOS COMPLEMENTARES - COLETADO CAIXA)</t>
  </si>
  <si>
    <t>EPI – FAMILIA ELETRICISTA - HORISTA (ENCARGOS COMPLEMENTARES - COLETADO CAIXA)</t>
  </si>
  <si>
    <t>Oficial de Manutenção Predial</t>
  </si>
  <si>
    <t>Ajudante (ref. SINAPI/88241)</t>
  </si>
  <si>
    <t>Subestação?</t>
  </si>
  <si>
    <t>Inclui eletrotécnico no deslocamento?</t>
  </si>
  <si>
    <t>Profissional</t>
  </si>
  <si>
    <t>ENGENHEIRO ELETRICISTA</t>
  </si>
  <si>
    <t>Referência</t>
  </si>
  <si>
    <t>99275 / insumo SBC</t>
  </si>
  <si>
    <t>Custo do insumo (h)</t>
  </si>
  <si>
    <t>Encargos Sociais (*) - (ES)</t>
  </si>
  <si>
    <t>Apêndice 21: Encargos Sociais – Rio Grande do Sul</t>
  </si>
  <si>
    <t>Cálculo custo do funcionário</t>
  </si>
  <si>
    <r>
      <rPr>
        <sz val="11"/>
        <color rgb="FF000000"/>
        <rFont val="Arial"/>
        <family val="2"/>
        <charset val="1"/>
      </rPr>
      <t>Horista Desonerado - H</t>
    </r>
    <r>
      <rPr>
        <vertAlign val="subscript"/>
        <sz val="10"/>
        <rFont val="Arial"/>
        <family val="2"/>
        <charset val="1"/>
      </rPr>
      <t>desonerado</t>
    </r>
  </si>
  <si>
    <r>
      <rPr>
        <sz val="11"/>
        <color rgb="FF000000"/>
        <rFont val="Arial"/>
        <family val="2"/>
        <charset val="1"/>
      </rPr>
      <t>Horista Não Desonerado - H</t>
    </r>
    <r>
      <rPr>
        <vertAlign val="subscript"/>
        <sz val="10"/>
        <rFont val="Arial"/>
        <family val="2"/>
        <charset val="1"/>
      </rPr>
      <t>não_desonerado</t>
    </r>
  </si>
  <si>
    <t>(*) Fonte: Livro SINAPI: Referências para Custos Horários e Encargos: Sistema Nacional de Pesquisa de Custos e Índices da Construção Civil / Caixa Econômica Federal. – 5ª Ed. – Brasília: CAIXA, 2022.</t>
  </si>
  <si>
    <t>COMPOSIÇÃO CUSTO ENGENHEIRO ELETRICISTA</t>
  </si>
  <si>
    <t>Composição ALTERADA SINAPI – 91677</t>
  </si>
  <si>
    <t>ENGENHEIRO ELETRICISTA COM ENCARGOS COMPLEMENTARES</t>
  </si>
  <si>
    <t>23688/SBC</t>
  </si>
  <si>
    <t>CURSO DE CAPACITACAO PARA ENGENHEIRO ELETRICISTA</t>
  </si>
  <si>
    <t>-</t>
  </si>
  <si>
    <t>99275/SBC</t>
  </si>
  <si>
    <t xml:space="preserve"> 00037372 </t>
  </si>
  <si>
    <t>1,14</t>
  </si>
  <si>
    <t xml:space="preserve"> 00037373 </t>
  </si>
  <si>
    <t>0,07</t>
  </si>
  <si>
    <t xml:space="preserve"> 00043462 </t>
  </si>
  <si>
    <t>FERRAMENTAS - FAMILIA ENGENHEIRO CIVIL - HORISTA (ENCARGOS COMPLEMENTARES - COLETADO CAIXA)</t>
  </si>
  <si>
    <t>0,01</t>
  </si>
  <si>
    <t xml:space="preserve"> 00043486 </t>
  </si>
  <si>
    <t>EPI - FAMILIA ENGENHEIRO CIVIL - HORISTA (ENCARGOS COMPLEMENTARES - COLETADO CAIXA)</t>
  </si>
  <si>
    <t>0,71</t>
  </si>
  <si>
    <t>VALOR TOTAL DO ITEM 8: R$ 1.432.468,44 (Um milhão, quatrocentos e trinta e dois mil, quatrocentos e sessenta e oito reais e quarenta e quatro centavos).</t>
  </si>
  <si>
    <t>ANEXO I – B19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</si>
</sst>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[$R$-416]\ #,##0.00;[Red]\-[$R$-416]\ #,##0.00"/>
    <numFmt numFmtId="165" formatCode="&quot; R$ &quot;* #,##0.00\ ;&quot;-R$ &quot;* #,##0.00\ ;&quot; R$ &quot;* \-#\ ;@\ "/>
    <numFmt numFmtId="166" formatCode="0.0000%"/>
    <numFmt numFmtId="167" formatCode="&quot;R$ &quot;#,##0.00;[Red]&quot;-R$ &quot;#,##0.00"/>
    <numFmt numFmtId="168" formatCode="#,##0.00\ ;[Red]\(#,##0.00\)"/>
    <numFmt numFmtId="169" formatCode="#,##0.00_);[Red]\(#,##0.00\)"/>
    <numFmt numFmtId="170" formatCode="#,##0.0"/>
    <numFmt numFmtId="171" formatCode="_-* #,##0.00_-;\-* #,##0.00_-;_-* \-??_-;_-@_-"/>
    <numFmt numFmtId="172" formatCode="mm/yy"/>
    <numFmt numFmtId="173" formatCode="&quot;R$&quot;\ #,##0.00"/>
    <numFmt numFmtId="174" formatCode="0.000"/>
    <numFmt numFmtId="175" formatCode="d/m/yyyy"/>
  </numFmts>
  <fonts count="28">
    <font>
      <sz val="11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8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i/>
      <sz val="10"/>
      <name val="Arial"/>
      <family val="2"/>
      <charset val="1"/>
    </font>
    <font>
      <b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b/>
      <sz val="11"/>
      <name val="Arial"/>
      <family val="1"/>
      <charset val="1"/>
    </font>
    <font>
      <b/>
      <sz val="10"/>
      <name val="Arial"/>
      <family val="1"/>
      <charset val="1"/>
    </font>
    <font>
      <sz val="10"/>
      <name val="Arial"/>
      <family val="1"/>
      <charset val="1"/>
    </font>
    <font>
      <sz val="10"/>
      <color rgb="FF000000"/>
      <name val="Arial"/>
      <family val="1"/>
      <charset val="1"/>
    </font>
    <font>
      <sz val="12"/>
      <color rgb="FF000000"/>
      <name val="Arial"/>
      <family val="2"/>
      <charset val="1"/>
    </font>
    <font>
      <b/>
      <sz val="13"/>
      <name val="Arial"/>
      <family val="2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1"/>
      <charset val="1"/>
    </font>
    <font>
      <sz val="10"/>
      <color rgb="FFFF0000"/>
      <name val="Arial"/>
      <family val="2"/>
      <charset val="1"/>
    </font>
    <font>
      <sz val="12"/>
      <name val="Arial"/>
      <family val="2"/>
      <charset val="1"/>
    </font>
    <font>
      <sz val="10"/>
      <color rgb="FF000000"/>
      <name val="Arial;Arial"/>
      <family val="2"/>
      <charset val="1"/>
    </font>
    <font>
      <vertAlign val="subscript"/>
      <sz val="10"/>
      <name val="Arial"/>
      <family val="2"/>
      <charset val="1"/>
    </font>
    <font>
      <b/>
      <sz val="10"/>
      <color rgb="FF000000"/>
      <name val="Arial"/>
      <family val="1"/>
      <charset val="1"/>
    </font>
  </fonts>
  <fills count="21">
    <fill>
      <patternFill patternType="none"/>
    </fill>
    <fill>
      <patternFill patternType="gray125"/>
    </fill>
    <fill>
      <patternFill patternType="solid">
        <fgColor rgb="FFCCFFCC"/>
        <bgColor rgb="FFEEEEEE"/>
      </patternFill>
    </fill>
    <fill>
      <patternFill patternType="solid">
        <fgColor rgb="FFEEEEEE"/>
        <bgColor rgb="FFDAE3F3"/>
      </patternFill>
    </fill>
    <fill>
      <patternFill patternType="solid">
        <fgColor rgb="FFFFFFFF"/>
        <bgColor rgb="FFEEEEEE"/>
      </patternFill>
    </fill>
    <fill>
      <patternFill patternType="solid">
        <fgColor theme="6" tint="0.79998168889431442"/>
        <bgColor rgb="FFEEEEEE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DAE3F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rgb="FFE2F0D9"/>
      </patternFill>
    </fill>
    <fill>
      <patternFill patternType="solid">
        <fgColor theme="6" tint="0.79998168889431442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theme="6" tint="0.39997558519241921"/>
        <bgColor rgb="FF003300"/>
      </patternFill>
    </fill>
    <fill>
      <patternFill patternType="solid">
        <fgColor theme="6" tint="0.79998168889431442"/>
        <bgColor rgb="FF969696"/>
      </patternFill>
    </fill>
    <fill>
      <patternFill patternType="solid">
        <fgColor rgb="FFCCFFCC"/>
        <bgColor rgb="FFCCFFFF"/>
      </patternFill>
    </fill>
    <fill>
      <patternFill patternType="solid">
        <fgColor theme="0" tint="-0.14999847407452621"/>
        <bgColor rgb="FFDEEBF7"/>
      </patternFill>
    </fill>
    <fill>
      <patternFill patternType="solid">
        <fgColor theme="6" tint="0.79989013336588644"/>
        <bgColor rgb="FFEEEEEE"/>
      </patternFill>
    </fill>
    <fill>
      <patternFill patternType="solid">
        <fgColor theme="2" tint="-4.9989318521683403E-2"/>
        <bgColor rgb="FFD9D9D9"/>
      </patternFill>
    </fill>
    <fill>
      <patternFill patternType="solid">
        <fgColor theme="2" tint="-0.14999847407452621"/>
        <bgColor rgb="FF003300"/>
      </patternFill>
    </fill>
    <fill>
      <patternFill patternType="solid">
        <fgColor theme="2" tint="-4.9989318521683403E-2"/>
        <bgColor rgb="FF969696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2">
    <xf numFmtId="0" fontId="0" fillId="0" borderId="0"/>
    <xf numFmtId="171" fontId="19" fillId="0" borderId="0" applyBorder="0" applyProtection="0"/>
    <xf numFmtId="165" fontId="19" fillId="0" borderId="0" applyBorder="0" applyProtection="0"/>
    <xf numFmtId="9" fontId="9" fillId="0" borderId="0" applyBorder="0" applyProtection="0"/>
    <xf numFmtId="0" fontId="1" fillId="0" borderId="0"/>
    <xf numFmtId="0" fontId="2" fillId="2" borderId="0"/>
    <xf numFmtId="0" fontId="2" fillId="10" borderId="0"/>
    <xf numFmtId="9" fontId="1" fillId="0" borderId="0" applyBorder="0" applyProtection="0"/>
    <xf numFmtId="0" fontId="19" fillId="0" borderId="0"/>
    <xf numFmtId="165" fontId="19" fillId="0" borderId="0" applyBorder="0" applyProtection="0"/>
    <xf numFmtId="0" fontId="9" fillId="0" borderId="0"/>
    <xf numFmtId="0" fontId="2" fillId="15" borderId="0"/>
  </cellStyleXfs>
  <cellXfs count="371">
    <xf numFmtId="0" fontId="0" fillId="0" borderId="0" xfId="0"/>
    <xf numFmtId="0" fontId="7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164" fontId="5" fillId="3" borderId="1" xfId="2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/>
    <xf numFmtId="0" fontId="8" fillId="0" borderId="0" xfId="0" applyFont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6" fontId="8" fillId="0" borderId="0" xfId="0" applyNumberFormat="1" applyFont="1" applyAlignment="1">
      <alignment horizontal="center" vertical="center" wrapText="1"/>
    </xf>
    <xf numFmtId="2" fontId="10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2" fontId="8" fillId="0" borderId="0" xfId="0" applyNumberFormat="1" applyFont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0" fontId="8" fillId="0" borderId="0" xfId="0" applyFont="1"/>
    <xf numFmtId="2" fontId="5" fillId="0" borderId="0" xfId="0" applyNumberFormat="1" applyFont="1" applyAlignment="1">
      <alignment vertical="center" wrapText="1"/>
    </xf>
    <xf numFmtId="2" fontId="8" fillId="0" borderId="0" xfId="0" applyNumberFormat="1" applyFont="1" applyAlignment="1">
      <alignment vertical="center"/>
    </xf>
    <xf numFmtId="168" fontId="6" fillId="0" borderId="0" xfId="0" applyNumberFormat="1" applyFont="1" applyAlignment="1">
      <alignment vertical="center" wrapText="1"/>
    </xf>
    <xf numFmtId="164" fontId="6" fillId="0" borderId="0" xfId="0" applyNumberFormat="1" applyFont="1" applyAlignment="1">
      <alignment horizontal="center" vertical="center" wrapText="1"/>
    </xf>
    <xf numFmtId="2" fontId="0" fillId="0" borderId="0" xfId="0" applyNumberFormat="1" applyAlignment="1">
      <alignment vertical="center"/>
    </xf>
    <xf numFmtId="168" fontId="5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2" fontId="6" fillId="0" borderId="0" xfId="0" applyNumberFormat="1" applyFont="1" applyAlignment="1">
      <alignment vertical="center" wrapText="1"/>
    </xf>
    <xf numFmtId="0" fontId="6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0" fontId="5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5" fontId="5" fillId="0" borderId="1" xfId="2" applyFont="1" applyBorder="1" applyAlignment="1" applyProtection="1">
      <alignment horizontal="center" vertical="center"/>
    </xf>
    <xf numFmtId="0" fontId="6" fillId="0" borderId="2" xfId="0" applyFont="1" applyBorder="1" applyAlignment="1">
      <alignment horizontal="center" vertical="center"/>
    </xf>
    <xf numFmtId="170" fontId="5" fillId="0" borderId="2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165" fontId="5" fillId="0" borderId="2" xfId="2" applyFont="1" applyBorder="1" applyAlignment="1" applyProtection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0" fontId="9" fillId="0" borderId="0" xfId="0" applyFont="1"/>
    <xf numFmtId="168" fontId="5" fillId="0" borderId="0" xfId="0" applyNumberFormat="1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5" fillId="0" borderId="0" xfId="0" applyFont="1"/>
    <xf numFmtId="164" fontId="5" fillId="0" borderId="0" xfId="0" applyNumberFormat="1" applyFont="1" applyAlignment="1">
      <alignment vertical="center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4" fontId="5" fillId="0" borderId="2" xfId="0" applyNumberFormat="1" applyFont="1" applyBorder="1" applyAlignment="1">
      <alignment horizontal="center" vertical="center"/>
    </xf>
    <xf numFmtId="169" fontId="5" fillId="0" borderId="1" xfId="0" applyNumberFormat="1" applyFont="1" applyBorder="1" applyAlignment="1">
      <alignment horizontal="left" vertical="center" wrapText="1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168" fontId="6" fillId="0" borderId="1" xfId="0" applyNumberFormat="1" applyFont="1" applyBorder="1" applyAlignment="1">
      <alignment horizontal="left" vertical="center" wrapText="1"/>
    </xf>
    <xf numFmtId="0" fontId="9" fillId="0" borderId="1" xfId="5" applyFont="1" applyFill="1" applyBorder="1" applyAlignment="1">
      <alignment vertical="center" wrapText="1"/>
    </xf>
    <xf numFmtId="10" fontId="9" fillId="0" borderId="1" xfId="3" applyNumberFormat="1" applyBorder="1" applyAlignment="1" applyProtection="1">
      <alignment horizontal="center" vertical="center" wrapText="1"/>
    </xf>
    <xf numFmtId="0" fontId="9" fillId="4" borderId="1" xfId="5" applyFont="1" applyFill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vertical="center"/>
    </xf>
    <xf numFmtId="2" fontId="6" fillId="0" borderId="1" xfId="0" applyNumberFormat="1" applyFont="1" applyBorder="1" applyAlignment="1">
      <alignment vertical="center"/>
    </xf>
    <xf numFmtId="0" fontId="2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10" fontId="20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0" xfId="0" applyBorder="1"/>
    <xf numFmtId="0" fontId="8" fillId="0" borderId="16" xfId="0" applyFont="1" applyBorder="1" applyAlignment="1">
      <alignment horizontal="justify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8" fontId="5" fillId="6" borderId="1" xfId="0" applyNumberFormat="1" applyFont="1" applyFill="1" applyBorder="1" applyAlignment="1">
      <alignment horizontal="right" vertical="center" wrapText="1"/>
    </xf>
    <xf numFmtId="168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right" vertical="center" wrapText="1"/>
    </xf>
    <xf numFmtId="2" fontId="20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/>
    </xf>
    <xf numFmtId="2" fontId="20" fillId="6" borderId="1" xfId="0" applyNumberFormat="1" applyFont="1" applyFill="1" applyBorder="1" applyAlignment="1">
      <alignment vertical="center"/>
    </xf>
    <xf numFmtId="168" fontId="5" fillId="6" borderId="1" xfId="0" applyNumberFormat="1" applyFont="1" applyFill="1" applyBorder="1" applyAlignment="1">
      <alignment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4" fontId="5" fillId="6" borderId="1" xfId="0" applyNumberFormat="1" applyFont="1" applyFill="1" applyBorder="1" applyAlignment="1">
      <alignment horizontal="center" vertical="center"/>
    </xf>
    <xf numFmtId="165" fontId="5" fillId="6" borderId="1" xfId="2" applyFont="1" applyFill="1" applyBorder="1" applyAlignment="1" applyProtection="1">
      <alignment horizontal="center" vertical="center"/>
    </xf>
    <xf numFmtId="3" fontId="5" fillId="6" borderId="1" xfId="0" applyNumberFormat="1" applyFont="1" applyFill="1" applyBorder="1" applyAlignment="1">
      <alignment horizontal="center" vertical="center"/>
    </xf>
    <xf numFmtId="4" fontId="5" fillId="6" borderId="3" xfId="0" applyNumberFormat="1" applyFont="1" applyFill="1" applyBorder="1" applyAlignment="1">
      <alignment horizontal="center" vertical="center"/>
    </xf>
    <xf numFmtId="1" fontId="5" fillId="6" borderId="1" xfId="2" applyNumberFormat="1" applyFont="1" applyFill="1" applyBorder="1" applyAlignment="1" applyProtection="1">
      <alignment horizontal="center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>
      <alignment horizontal="center" vertical="center"/>
    </xf>
    <xf numFmtId="164" fontId="6" fillId="0" borderId="21" xfId="0" applyNumberFormat="1" applyFont="1" applyBorder="1" applyAlignment="1">
      <alignment vertical="center"/>
    </xf>
    <xf numFmtId="0" fontId="6" fillId="0" borderId="22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164" fontId="6" fillId="0" borderId="23" xfId="0" applyNumberFormat="1" applyFont="1" applyBorder="1" applyAlignment="1">
      <alignment vertical="center"/>
    </xf>
    <xf numFmtId="0" fontId="5" fillId="0" borderId="22" xfId="0" applyFont="1" applyBorder="1" applyAlignment="1">
      <alignment horizontal="center" vertical="center"/>
    </xf>
    <xf numFmtId="164" fontId="8" fillId="0" borderId="21" xfId="0" applyNumberFormat="1" applyFont="1" applyBorder="1" applyAlignment="1">
      <alignment vertical="center"/>
    </xf>
    <xf numFmtId="0" fontId="8" fillId="0" borderId="21" xfId="0" applyFont="1" applyBorder="1" applyAlignment="1">
      <alignment horizontal="center" vertical="center"/>
    </xf>
    <xf numFmtId="164" fontId="5" fillId="0" borderId="21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6" fillId="0" borderId="19" xfId="0" applyFont="1" applyBorder="1"/>
    <xf numFmtId="164" fontId="6" fillId="0" borderId="22" xfId="0" applyNumberFormat="1" applyFont="1" applyBorder="1" applyAlignment="1">
      <alignment vertical="center"/>
    </xf>
    <xf numFmtId="0" fontId="14" fillId="4" borderId="0" xfId="5" applyFont="1" applyFill="1" applyAlignment="1">
      <alignment horizontal="left" vertical="top" wrapText="1"/>
    </xf>
    <xf numFmtId="164" fontId="15" fillId="4" borderId="0" xfId="5" applyNumberFormat="1" applyFont="1" applyFill="1" applyAlignment="1">
      <alignment horizontal="left" vertical="top" wrapText="1"/>
    </xf>
    <xf numFmtId="0" fontId="13" fillId="4" borderId="21" xfId="5" applyFont="1" applyFill="1" applyBorder="1" applyAlignment="1">
      <alignment horizontal="center" vertical="center" wrapText="1"/>
    </xf>
    <xf numFmtId="0" fontId="16" fillId="9" borderId="21" xfId="5" applyFont="1" applyFill="1" applyBorder="1" applyAlignment="1">
      <alignment horizontal="left" vertical="center" wrapText="1"/>
    </xf>
    <xf numFmtId="0" fontId="16" fillId="9" borderId="21" xfId="5" applyFont="1" applyFill="1" applyBorder="1" applyAlignment="1">
      <alignment horizontal="center" vertical="center" wrapText="1"/>
    </xf>
    <xf numFmtId="10" fontId="9" fillId="0" borderId="21" xfId="3" applyNumberFormat="1" applyBorder="1" applyAlignment="1">
      <alignment horizontal="center" vertical="center"/>
    </xf>
    <xf numFmtId="173" fontId="6" fillId="0" borderId="21" xfId="0" applyNumberFormat="1" applyFont="1" applyBorder="1" applyAlignment="1">
      <alignment vertical="center" wrapText="1"/>
    </xf>
    <xf numFmtId="0" fontId="7" fillId="8" borderId="21" xfId="0" applyFont="1" applyFill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 wrapText="1"/>
    </xf>
    <xf numFmtId="10" fontId="9" fillId="0" borderId="21" xfId="0" applyNumberFormat="1" applyFont="1" applyBorder="1" applyAlignment="1">
      <alignment horizontal="center" vertical="center" wrapText="1"/>
    </xf>
    <xf numFmtId="10" fontId="9" fillId="0" borderId="21" xfId="0" applyNumberFormat="1" applyFont="1" applyBorder="1" applyAlignment="1">
      <alignment vertical="center" wrapText="1"/>
    </xf>
    <xf numFmtId="167" fontId="9" fillId="0" borderId="21" xfId="0" applyNumberFormat="1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/>
    </xf>
    <xf numFmtId="173" fontId="5" fillId="8" borderId="21" xfId="0" applyNumberFormat="1" applyFont="1" applyFill="1" applyBorder="1" applyAlignment="1">
      <alignment vertical="center" wrapText="1"/>
    </xf>
    <xf numFmtId="167" fontId="8" fillId="8" borderId="21" xfId="0" applyNumberFormat="1" applyFont="1" applyFill="1" applyBorder="1" applyAlignment="1">
      <alignment vertical="center" wrapText="1"/>
    </xf>
    <xf numFmtId="10" fontId="8" fillId="8" borderId="21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vertical="center" wrapText="1"/>
    </xf>
    <xf numFmtId="10" fontId="6" fillId="0" borderId="24" xfId="0" applyNumberFormat="1" applyFont="1" applyBorder="1" applyAlignment="1">
      <alignment horizontal="center" vertical="center" wrapText="1"/>
    </xf>
    <xf numFmtId="0" fontId="20" fillId="6" borderId="2" xfId="0" applyFont="1" applyFill="1" applyBorder="1" applyAlignment="1">
      <alignment horizontal="center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20" fillId="6" borderId="12" xfId="0" applyFont="1" applyFill="1" applyBorder="1" applyAlignment="1">
      <alignment horizontal="center" vertical="center" wrapText="1"/>
    </xf>
    <xf numFmtId="10" fontId="20" fillId="6" borderId="13" xfId="0" applyNumberFormat="1" applyFont="1" applyFill="1" applyBorder="1" applyAlignment="1">
      <alignment horizontal="center" vertical="top" wrapText="1"/>
    </xf>
    <xf numFmtId="10" fontId="20" fillId="6" borderId="24" xfId="0" applyNumberFormat="1" applyFont="1" applyFill="1" applyBorder="1" applyAlignment="1">
      <alignment horizontal="center" vertical="top" wrapText="1"/>
    </xf>
    <xf numFmtId="10" fontId="20" fillId="6" borderId="15" xfId="0" applyNumberFormat="1" applyFont="1" applyFill="1" applyBorder="1" applyAlignment="1">
      <alignment horizontal="center" vertical="top" wrapText="1"/>
    </xf>
    <xf numFmtId="0" fontId="23" fillId="0" borderId="0" xfId="0" applyFont="1" applyAlignment="1">
      <alignment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vertical="center" wrapText="1"/>
    </xf>
    <xf numFmtId="2" fontId="5" fillId="0" borderId="1" xfId="1" applyNumberFormat="1" applyFont="1" applyBorder="1" applyAlignment="1" applyProtection="1">
      <alignment horizontal="center" vertical="center"/>
    </xf>
    <xf numFmtId="1" fontId="5" fillId="0" borderId="1" xfId="1" applyNumberFormat="1" applyFont="1" applyBorder="1" applyAlignment="1" applyProtection="1">
      <alignment horizontal="center" vertical="center"/>
    </xf>
    <xf numFmtId="1" fontId="5" fillId="0" borderId="2" xfId="1" applyNumberFormat="1" applyFont="1" applyBorder="1" applyAlignment="1" applyProtection="1">
      <alignment horizontal="center" vertical="center"/>
    </xf>
    <xf numFmtId="0" fontId="7" fillId="6" borderId="1" xfId="0" applyFont="1" applyFill="1" applyBorder="1" applyAlignment="1">
      <alignment vertical="center" wrapText="1"/>
    </xf>
    <xf numFmtId="2" fontId="16" fillId="9" borderId="21" xfId="5" applyNumberFormat="1" applyFont="1" applyFill="1" applyBorder="1" applyAlignment="1">
      <alignment horizontal="center" vertical="center" wrapText="1"/>
    </xf>
    <xf numFmtId="174" fontId="16" fillId="9" borderId="21" xfId="5" applyNumberFormat="1" applyFont="1" applyFill="1" applyBorder="1" applyAlignment="1">
      <alignment horizontal="center" vertical="center" wrapText="1"/>
    </xf>
    <xf numFmtId="170" fontId="5" fillId="6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6" fillId="0" borderId="24" xfId="0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168" fontId="6" fillId="9" borderId="1" xfId="0" applyNumberFormat="1" applyFont="1" applyFill="1" applyBorder="1" applyAlignment="1">
      <alignment horizontal="center" vertical="center" wrapText="1"/>
    </xf>
    <xf numFmtId="170" fontId="6" fillId="0" borderId="1" xfId="8" applyNumberFormat="1" applyFont="1" applyBorder="1" applyAlignment="1">
      <alignment horizontal="center" vertical="center"/>
    </xf>
    <xf numFmtId="3" fontId="6" fillId="0" borderId="1" xfId="8" applyNumberFormat="1" applyFont="1" applyBorder="1" applyAlignment="1">
      <alignment horizontal="center" vertical="center"/>
    </xf>
    <xf numFmtId="4" fontId="5" fillId="0" borderId="2" xfId="8" applyNumberFormat="1" applyFont="1" applyBorder="1" applyAlignment="1">
      <alignment horizontal="center" vertical="center"/>
    </xf>
    <xf numFmtId="165" fontId="5" fillId="0" borderId="1" xfId="9" applyFont="1" applyBorder="1" applyAlignment="1" applyProtection="1">
      <alignment horizontal="center" vertical="center"/>
    </xf>
    <xf numFmtId="3" fontId="20" fillId="0" borderId="1" xfId="8" applyNumberFormat="1" applyFont="1" applyBorder="1" applyAlignment="1">
      <alignment horizontal="center" vertical="center"/>
    </xf>
    <xf numFmtId="165" fontId="5" fillId="0" borderId="2" xfId="9" applyFont="1" applyBorder="1" applyAlignment="1" applyProtection="1">
      <alignment horizontal="center" vertical="center"/>
    </xf>
    <xf numFmtId="165" fontId="5" fillId="0" borderId="24" xfId="9" applyFont="1" applyBorder="1" applyAlignment="1" applyProtection="1">
      <alignment horizontal="center" vertical="center"/>
    </xf>
    <xf numFmtId="4" fontId="5" fillId="0" borderId="1" xfId="8" applyNumberFormat="1" applyFont="1" applyBorder="1" applyAlignment="1">
      <alignment horizontal="center" vertical="center"/>
    </xf>
    <xf numFmtId="165" fontId="5" fillId="9" borderId="2" xfId="9" applyFont="1" applyFill="1" applyBorder="1" applyAlignment="1" applyProtection="1">
      <alignment vertical="center"/>
    </xf>
    <xf numFmtId="2" fontId="20" fillId="9" borderId="0" xfId="0" applyNumberFormat="1" applyFont="1" applyFill="1" applyAlignment="1">
      <alignment vertical="center"/>
    </xf>
    <xf numFmtId="164" fontId="6" fillId="9" borderId="0" xfId="0" applyNumberFormat="1" applyFont="1" applyFill="1" applyAlignment="1">
      <alignment horizontal="center" vertical="center"/>
    </xf>
    <xf numFmtId="0" fontId="9" fillId="0" borderId="0" xfId="10" applyAlignment="1">
      <alignment vertical="center"/>
    </xf>
    <xf numFmtId="0" fontId="8" fillId="11" borderId="1" xfId="10" applyFont="1" applyFill="1" applyBorder="1" applyAlignment="1">
      <alignment horizontal="center" vertical="center" wrapText="1"/>
    </xf>
    <xf numFmtId="0" fontId="9" fillId="0" borderId="1" xfId="10" applyBorder="1" applyAlignment="1">
      <alignment vertical="center"/>
    </xf>
    <xf numFmtId="175" fontId="9" fillId="12" borderId="1" xfId="10" applyNumberFormat="1" applyFill="1" applyBorder="1" applyAlignment="1">
      <alignment horizontal="center" vertical="center" wrapText="1"/>
    </xf>
    <xf numFmtId="164" fontId="9" fillId="12" borderId="1" xfId="10" applyNumberFormat="1" applyFill="1" applyBorder="1" applyAlignment="1">
      <alignment horizontal="center" vertical="center" wrapText="1"/>
    </xf>
    <xf numFmtId="0" fontId="9" fillId="13" borderId="1" xfId="10" applyFill="1" applyBorder="1" applyAlignment="1">
      <alignment vertical="center"/>
    </xf>
    <xf numFmtId="164" fontId="9" fillId="13" borderId="1" xfId="10" applyNumberFormat="1" applyFill="1" applyBorder="1" applyAlignment="1">
      <alignment horizontal="center" vertical="center" wrapText="1"/>
    </xf>
    <xf numFmtId="0" fontId="8" fillId="0" borderId="1" xfId="10" applyFont="1" applyBorder="1" applyAlignment="1">
      <alignment vertical="center" wrapText="1"/>
    </xf>
    <xf numFmtId="10" fontId="9" fillId="0" borderId="1" xfId="10" applyNumberFormat="1" applyBorder="1" applyAlignment="1">
      <alignment vertical="center"/>
    </xf>
    <xf numFmtId="0" fontId="8" fillId="0" borderId="1" xfId="10" applyFont="1" applyBorder="1" applyAlignment="1">
      <alignment vertical="center"/>
    </xf>
    <xf numFmtId="164" fontId="9" fillId="0" borderId="1" xfId="10" applyNumberFormat="1" applyBorder="1" applyAlignment="1">
      <alignment vertical="center"/>
    </xf>
    <xf numFmtId="2" fontId="9" fillId="0" borderId="0" xfId="10" applyNumberFormat="1" applyAlignment="1">
      <alignment vertical="center"/>
    </xf>
    <xf numFmtId="164" fontId="21" fillId="14" borderId="1" xfId="10" applyNumberFormat="1" applyFont="1" applyFill="1" applyBorder="1" applyAlignment="1">
      <alignment vertical="center"/>
    </xf>
    <xf numFmtId="4" fontId="9" fillId="0" borderId="0" xfId="10" applyNumberFormat="1" applyAlignment="1">
      <alignment vertical="center"/>
    </xf>
    <xf numFmtId="0" fontId="9" fillId="0" borderId="0" xfId="10"/>
    <xf numFmtId="0" fontId="14" fillId="12" borderId="0" xfId="11" applyFont="1" applyFill="1" applyAlignment="1">
      <alignment horizontal="left" vertical="top" wrapText="1"/>
    </xf>
    <xf numFmtId="164" fontId="15" fillId="12" borderId="0" xfId="11" applyNumberFormat="1" applyFont="1" applyFill="1" applyAlignment="1">
      <alignment horizontal="left" vertical="top" wrapText="1"/>
    </xf>
    <xf numFmtId="0" fontId="13" fillId="12" borderId="1" xfId="11" applyFont="1" applyFill="1" applyBorder="1" applyAlignment="1">
      <alignment horizontal="center" vertical="center" wrapText="1"/>
    </xf>
    <xf numFmtId="0" fontId="16" fillId="12" borderId="1" xfId="11" applyFont="1" applyFill="1" applyBorder="1" applyAlignment="1">
      <alignment horizontal="center" vertical="center" wrapText="1"/>
    </xf>
    <xf numFmtId="2" fontId="16" fillId="0" borderId="1" xfId="11" applyNumberFormat="1" applyFont="1" applyFill="1" applyBorder="1" applyAlignment="1">
      <alignment horizontal="center" vertical="center" wrapText="1"/>
    </xf>
    <xf numFmtId="2" fontId="16" fillId="12" borderId="1" xfId="11" applyNumberFormat="1" applyFont="1" applyFill="1" applyBorder="1" applyAlignment="1">
      <alignment horizontal="center" vertical="center" wrapText="1"/>
    </xf>
    <xf numFmtId="173" fontId="16" fillId="12" borderId="1" xfId="11" applyNumberFormat="1" applyFont="1" applyFill="1" applyBorder="1" applyAlignment="1">
      <alignment horizontal="center" vertical="center" wrapText="1"/>
    </xf>
    <xf numFmtId="0" fontId="12" fillId="0" borderId="0" xfId="10" applyFont="1" applyAlignment="1">
      <alignment wrapText="1"/>
    </xf>
    <xf numFmtId="0" fontId="15" fillId="12" borderId="1" xfId="11" applyFont="1" applyFill="1" applyBorder="1" applyAlignment="1">
      <alignment horizontal="center" vertical="center" wrapText="1"/>
    </xf>
    <xf numFmtId="2" fontId="15" fillId="0" borderId="1" xfId="11" applyNumberFormat="1" applyFont="1" applyFill="1" applyBorder="1" applyAlignment="1">
      <alignment horizontal="center" vertical="center" wrapText="1"/>
    </xf>
    <xf numFmtId="2" fontId="15" fillId="12" borderId="1" xfId="11" applyNumberFormat="1" applyFont="1" applyFill="1" applyBorder="1" applyAlignment="1">
      <alignment horizontal="center" vertical="center" wrapText="1"/>
    </xf>
    <xf numFmtId="173" fontId="15" fillId="12" borderId="1" xfId="11" applyNumberFormat="1" applyFont="1" applyFill="1" applyBorder="1" applyAlignment="1">
      <alignment horizontal="center" vertical="center" wrapText="1"/>
    </xf>
    <xf numFmtId="0" fontId="5" fillId="17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165" fontId="5" fillId="0" borderId="2" xfId="9" applyFont="1" applyBorder="1" applyAlignment="1" applyProtection="1">
      <alignment vertical="center"/>
    </xf>
    <xf numFmtId="0" fontId="8" fillId="18" borderId="1" xfId="10" applyFont="1" applyFill="1" applyBorder="1" applyAlignment="1">
      <alignment horizontal="center" vertical="center" wrapText="1"/>
    </xf>
    <xf numFmtId="0" fontId="9" fillId="19" borderId="1" xfId="10" applyFill="1" applyBorder="1" applyAlignment="1">
      <alignment vertical="center"/>
    </xf>
    <xf numFmtId="164" fontId="9" fillId="19" borderId="1" xfId="10" applyNumberFormat="1" applyFill="1" applyBorder="1" applyAlignment="1">
      <alignment horizontal="center" vertical="center" wrapText="1"/>
    </xf>
    <xf numFmtId="0" fontId="9" fillId="0" borderId="1" xfId="10" applyBorder="1" applyAlignment="1">
      <alignment vertical="center" wrapText="1"/>
    </xf>
    <xf numFmtId="0" fontId="0" fillId="0" borderId="1" xfId="10" applyFont="1" applyBorder="1" applyAlignment="1">
      <alignment vertical="center"/>
    </xf>
    <xf numFmtId="164" fontId="21" fillId="20" borderId="1" xfId="10" applyNumberFormat="1" applyFont="1" applyFill="1" applyBorder="1" applyAlignment="1">
      <alignment vertical="center"/>
    </xf>
    <xf numFmtId="173" fontId="9" fillId="0" borderId="0" xfId="10" applyNumberFormat="1" applyAlignment="1">
      <alignment vertical="center"/>
    </xf>
    <xf numFmtId="173" fontId="9" fillId="0" borderId="0" xfId="10" applyNumberFormat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0" fontId="4" fillId="8" borderId="13" xfId="0" applyFont="1" applyFill="1" applyBorder="1" applyAlignment="1">
      <alignment horizontal="center" vertical="center" wrapText="1"/>
    </xf>
    <xf numFmtId="0" fontId="4" fillId="8" borderId="14" xfId="0" applyFont="1" applyFill="1" applyBorder="1" applyAlignment="1">
      <alignment horizontal="center" vertical="center" wrapText="1"/>
    </xf>
    <xf numFmtId="0" fontId="4" fillId="8" borderId="15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4" fillId="8" borderId="16" xfId="0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7" fillId="8" borderId="8" xfId="0" applyFont="1" applyFill="1" applyBorder="1" applyAlignment="1">
      <alignment horizontal="center" vertical="center" wrapText="1"/>
    </xf>
    <xf numFmtId="0" fontId="7" fillId="8" borderId="9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/>
    </xf>
    <xf numFmtId="0" fontId="7" fillId="8" borderId="8" xfId="0" applyFont="1" applyFill="1" applyBorder="1" applyAlignment="1">
      <alignment horizontal="center" vertical="center"/>
    </xf>
    <xf numFmtId="0" fontId="7" fillId="8" borderId="9" xfId="0" applyFont="1" applyFill="1" applyBorder="1" applyAlignment="1">
      <alignment horizontal="center" vertical="center"/>
    </xf>
    <xf numFmtId="2" fontId="5" fillId="6" borderId="1" xfId="0" applyNumberFormat="1" applyFont="1" applyFill="1" applyBorder="1" applyAlignment="1">
      <alignment horizontal="center" vertical="center"/>
    </xf>
    <xf numFmtId="2" fontId="5" fillId="6" borderId="3" xfId="0" applyNumberFormat="1" applyFont="1" applyFill="1" applyBorder="1" applyAlignment="1">
      <alignment horizontal="center" vertical="center"/>
    </xf>
    <xf numFmtId="2" fontId="5" fillId="6" borderId="9" xfId="0" applyNumberFormat="1" applyFont="1" applyFill="1" applyBorder="1" applyAlignment="1">
      <alignment horizontal="center" vertical="center"/>
    </xf>
    <xf numFmtId="2" fontId="7" fillId="8" borderId="3" xfId="0" applyNumberFormat="1" applyFont="1" applyFill="1" applyBorder="1" applyAlignment="1">
      <alignment horizontal="center" vertical="center" wrapText="1"/>
    </xf>
    <xf numFmtId="2" fontId="7" fillId="8" borderId="8" xfId="0" applyNumberFormat="1" applyFont="1" applyFill="1" applyBorder="1" applyAlignment="1">
      <alignment horizontal="center" vertical="center" wrapText="1"/>
    </xf>
    <xf numFmtId="2" fontId="7" fillId="8" borderId="9" xfId="0" applyNumberFormat="1" applyFont="1" applyFill="1" applyBorder="1" applyAlignment="1">
      <alignment horizontal="center" vertical="center" wrapText="1"/>
    </xf>
    <xf numFmtId="2" fontId="5" fillId="6" borderId="3" xfId="0" applyNumberFormat="1" applyFont="1" applyFill="1" applyBorder="1" applyAlignment="1">
      <alignment horizontal="center" vertical="center" wrapText="1"/>
    </xf>
    <xf numFmtId="2" fontId="5" fillId="6" borderId="8" xfId="0" applyNumberFormat="1" applyFont="1" applyFill="1" applyBorder="1" applyAlignment="1">
      <alignment horizontal="center" vertical="center" wrapText="1"/>
    </xf>
    <xf numFmtId="2" fontId="5" fillId="6" borderId="9" xfId="0" applyNumberFormat="1" applyFont="1" applyFill="1" applyBorder="1" applyAlignment="1">
      <alignment horizontal="center" vertical="center" wrapText="1"/>
    </xf>
    <xf numFmtId="2" fontId="11" fillId="8" borderId="3" xfId="0" applyNumberFormat="1" applyFont="1" applyFill="1" applyBorder="1" applyAlignment="1">
      <alignment horizontal="center" vertical="center"/>
    </xf>
    <xf numFmtId="2" fontId="11" fillId="8" borderId="8" xfId="0" applyNumberFormat="1" applyFont="1" applyFill="1" applyBorder="1" applyAlignment="1">
      <alignment horizontal="center" vertical="center"/>
    </xf>
    <xf numFmtId="2" fontId="11" fillId="8" borderId="9" xfId="0" applyNumberFormat="1" applyFont="1" applyFill="1" applyBorder="1" applyAlignment="1">
      <alignment horizontal="center" vertical="center"/>
    </xf>
    <xf numFmtId="2" fontId="5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8" fontId="5" fillId="6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170" fontId="6" fillId="0" borderId="1" xfId="8" applyNumberFormat="1" applyFont="1" applyBorder="1" applyAlignment="1">
      <alignment horizontal="center" vertical="center"/>
    </xf>
    <xf numFmtId="170" fontId="5" fillId="0" borderId="2" xfId="0" applyNumberFormat="1" applyFont="1" applyBorder="1" applyAlignment="1">
      <alignment horizontal="center" vertical="center"/>
    </xf>
    <xf numFmtId="170" fontId="5" fillId="0" borderId="24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3" fontId="6" fillId="0" borderId="24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3" fontId="5" fillId="0" borderId="24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4" xfId="0" applyNumberFormat="1" applyFont="1" applyBorder="1" applyAlignment="1">
      <alignment horizontal="center" vertical="center"/>
    </xf>
    <xf numFmtId="165" fontId="5" fillId="0" borderId="2" xfId="2" applyFont="1" applyBorder="1" applyAlignment="1" applyProtection="1">
      <alignment horizontal="center" vertical="center"/>
    </xf>
    <xf numFmtId="165" fontId="5" fillId="0" borderId="24" xfId="2" applyFont="1" applyBorder="1" applyAlignment="1" applyProtection="1">
      <alignment horizontal="center" vertical="center"/>
    </xf>
    <xf numFmtId="1" fontId="5" fillId="0" borderId="2" xfId="1" applyNumberFormat="1" applyFont="1" applyBorder="1" applyAlignment="1" applyProtection="1">
      <alignment horizontal="center" vertical="center"/>
    </xf>
    <xf numFmtId="1" fontId="5" fillId="0" borderId="24" xfId="1" applyNumberFormat="1" applyFont="1" applyBorder="1" applyAlignment="1" applyProtection="1">
      <alignment horizontal="center" vertical="center"/>
    </xf>
    <xf numFmtId="0" fontId="9" fillId="0" borderId="21" xfId="0" applyFont="1" applyBorder="1" applyAlignment="1">
      <alignment horizontal="left" vertical="center" wrapText="1"/>
    </xf>
    <xf numFmtId="0" fontId="8" fillId="8" borderId="17" xfId="0" applyFont="1" applyFill="1" applyBorder="1" applyAlignment="1">
      <alignment horizontal="center" vertical="center"/>
    </xf>
    <xf numFmtId="0" fontId="8" fillId="8" borderId="19" xfId="0" applyFont="1" applyFill="1" applyBorder="1" applyAlignment="1">
      <alignment horizontal="center" vertical="center"/>
    </xf>
    <xf numFmtId="0" fontId="5" fillId="8" borderId="21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4" fontId="5" fillId="6" borderId="1" xfId="0" applyNumberFormat="1" applyFont="1" applyFill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/>
    </xf>
    <xf numFmtId="2" fontId="20" fillId="6" borderId="1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3" fontId="6" fillId="0" borderId="1" xfId="8" applyNumberFormat="1" applyFont="1" applyBorder="1" applyAlignment="1">
      <alignment horizontal="center" vertical="center"/>
    </xf>
    <xf numFmtId="4" fontId="5" fillId="0" borderId="2" xfId="8" applyNumberFormat="1" applyFont="1" applyBorder="1" applyAlignment="1">
      <alignment horizontal="center" vertical="center"/>
    </xf>
    <xf numFmtId="4" fontId="5" fillId="0" borderId="24" xfId="8" applyNumberFormat="1" applyFont="1" applyBorder="1" applyAlignment="1">
      <alignment horizontal="center" vertical="center"/>
    </xf>
    <xf numFmtId="165" fontId="5" fillId="0" borderId="1" xfId="9" applyFont="1" applyBorder="1" applyAlignment="1" applyProtection="1">
      <alignment horizontal="center" vertical="center"/>
    </xf>
    <xf numFmtId="3" fontId="20" fillId="0" borderId="1" xfId="8" applyNumberFormat="1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170" fontId="6" fillId="0" borderId="2" xfId="8" applyNumberFormat="1" applyFont="1" applyBorder="1" applyAlignment="1">
      <alignment horizontal="center" vertical="center"/>
    </xf>
    <xf numFmtId="3" fontId="20" fillId="0" borderId="2" xfId="8" applyNumberFormat="1" applyFont="1" applyBorder="1" applyAlignment="1">
      <alignment horizontal="center" vertical="center"/>
    </xf>
    <xf numFmtId="3" fontId="6" fillId="0" borderId="2" xfId="8" applyNumberFormat="1" applyFont="1" applyBorder="1" applyAlignment="1">
      <alignment horizontal="center" vertical="center"/>
    </xf>
    <xf numFmtId="4" fontId="5" fillId="0" borderId="25" xfId="8" applyNumberFormat="1" applyFont="1" applyBorder="1" applyAlignment="1">
      <alignment horizontal="center" vertical="center"/>
    </xf>
    <xf numFmtId="0" fontId="9" fillId="0" borderId="0" xfId="10" applyAlignment="1">
      <alignment horizontal="left" vertical="center" wrapText="1"/>
    </xf>
    <xf numFmtId="0" fontId="13" fillId="16" borderId="1" xfId="11" applyFont="1" applyFill="1" applyBorder="1" applyAlignment="1">
      <alignment horizontal="center" vertical="center" wrapText="1"/>
    </xf>
    <xf numFmtId="0" fontId="13" fillId="16" borderId="2" xfId="11" applyFont="1" applyFill="1" applyBorder="1" applyAlignment="1">
      <alignment horizontal="center" vertical="center" wrapText="1"/>
    </xf>
    <xf numFmtId="0" fontId="14" fillId="12" borderId="1" xfId="11" applyFont="1" applyFill="1" applyBorder="1" applyAlignment="1">
      <alignment horizontal="left" vertical="top" wrapText="1"/>
    </xf>
    <xf numFmtId="0" fontId="15" fillId="12" borderId="1" xfId="11" applyFont="1" applyFill="1" applyBorder="1" applyAlignment="1">
      <alignment horizontal="left" vertical="top" wrapText="1"/>
    </xf>
    <xf numFmtId="0" fontId="14" fillId="12" borderId="1" xfId="11" applyFont="1" applyFill="1" applyBorder="1" applyAlignment="1">
      <alignment horizontal="left" vertical="center" wrapText="1"/>
    </xf>
    <xf numFmtId="164" fontId="27" fillId="12" borderId="1" xfId="11" applyNumberFormat="1" applyFont="1" applyFill="1" applyBorder="1" applyAlignment="1">
      <alignment horizontal="left" vertical="center"/>
    </xf>
    <xf numFmtId="49" fontId="15" fillId="12" borderId="1" xfId="11" applyNumberFormat="1" applyFont="1" applyFill="1" applyBorder="1" applyAlignment="1">
      <alignment horizontal="left" vertical="top" wrapText="1"/>
    </xf>
    <xf numFmtId="49" fontId="15" fillId="0" borderId="1" xfId="11" applyNumberFormat="1" applyFont="1" applyFill="1" applyBorder="1" applyAlignment="1">
      <alignment horizontal="left" vertical="top" wrapText="1"/>
    </xf>
    <xf numFmtId="0" fontId="13" fillId="8" borderId="23" xfId="5" applyFont="1" applyFill="1" applyBorder="1" applyAlignment="1">
      <alignment horizontal="center" vertical="center" wrapText="1"/>
    </xf>
    <xf numFmtId="0" fontId="14" fillId="4" borderId="21" xfId="5" applyFont="1" applyFill="1" applyBorder="1" applyAlignment="1">
      <alignment horizontal="left" vertical="top" wrapText="1"/>
    </xf>
    <xf numFmtId="0" fontId="15" fillId="4" borderId="21" xfId="5" applyFont="1" applyFill="1" applyBorder="1" applyAlignment="1">
      <alignment horizontal="left" vertical="top" wrapText="1"/>
    </xf>
    <xf numFmtId="49" fontId="15" fillId="4" borderId="21" xfId="5" applyNumberFormat="1" applyFont="1" applyFill="1" applyBorder="1" applyAlignment="1">
      <alignment horizontal="left" vertical="top" wrapText="1"/>
    </xf>
    <xf numFmtId="0" fontId="14" fillId="4" borderId="21" xfId="5" applyFont="1" applyFill="1" applyBorder="1" applyAlignment="1">
      <alignment horizontal="left" vertical="center" wrapText="1"/>
    </xf>
    <xf numFmtId="173" fontId="22" fillId="4" borderId="17" xfId="5" applyNumberFormat="1" applyFont="1" applyFill="1" applyBorder="1" applyAlignment="1">
      <alignment horizontal="left" vertical="center" wrapText="1"/>
    </xf>
    <xf numFmtId="173" fontId="22" fillId="4" borderId="18" xfId="5" applyNumberFormat="1" applyFont="1" applyFill="1" applyBorder="1" applyAlignment="1">
      <alignment horizontal="left" vertical="center" wrapText="1"/>
    </xf>
    <xf numFmtId="173" fontId="22" fillId="4" borderId="19" xfId="5" applyNumberFormat="1" applyFont="1" applyFill="1" applyBorder="1" applyAlignment="1">
      <alignment horizontal="left" vertical="center" wrapText="1"/>
    </xf>
    <xf numFmtId="0" fontId="14" fillId="4" borderId="17" xfId="5" applyFont="1" applyFill="1" applyBorder="1" applyAlignment="1">
      <alignment horizontal="left" vertical="center" wrapText="1"/>
    </xf>
    <xf numFmtId="0" fontId="14" fillId="4" borderId="19" xfId="5" applyFont="1" applyFill="1" applyBorder="1" applyAlignment="1">
      <alignment horizontal="left" vertical="center" wrapText="1"/>
    </xf>
    <xf numFmtId="172" fontId="15" fillId="4" borderId="17" xfId="5" applyNumberFormat="1" applyFont="1" applyFill="1" applyBorder="1" applyAlignment="1">
      <alignment horizontal="left" vertical="center" wrapText="1"/>
    </xf>
    <xf numFmtId="0" fontId="15" fillId="4" borderId="18" xfId="5" applyFont="1" applyFill="1" applyBorder="1" applyAlignment="1">
      <alignment horizontal="left" vertical="center" wrapText="1"/>
    </xf>
    <xf numFmtId="0" fontId="15" fillId="4" borderId="19" xfId="5" applyFont="1" applyFill="1" applyBorder="1" applyAlignment="1">
      <alignment horizontal="left" vertical="center" wrapText="1"/>
    </xf>
    <xf numFmtId="0" fontId="15" fillId="4" borderId="17" xfId="5" applyFont="1" applyFill="1" applyBorder="1" applyAlignment="1">
      <alignment horizontal="left" vertical="center" wrapText="1"/>
    </xf>
    <xf numFmtId="0" fontId="13" fillId="8" borderId="21" xfId="5" applyFont="1" applyFill="1" applyBorder="1" applyAlignment="1">
      <alignment horizontal="center" vertical="center" wrapText="1"/>
    </xf>
    <xf numFmtId="0" fontId="13" fillId="8" borderId="17" xfId="5" applyFont="1" applyFill="1" applyBorder="1" applyAlignment="1">
      <alignment horizontal="center" vertical="center" wrapText="1"/>
    </xf>
    <xf numFmtId="0" fontId="13" fillId="8" borderId="18" xfId="5" applyFont="1" applyFill="1" applyBorder="1" applyAlignment="1">
      <alignment horizontal="center" vertical="center" wrapText="1"/>
    </xf>
    <xf numFmtId="0" fontId="13" fillId="8" borderId="19" xfId="5" applyFont="1" applyFill="1" applyBorder="1" applyAlignment="1">
      <alignment horizontal="center" vertical="center" wrapText="1"/>
    </xf>
    <xf numFmtId="164" fontId="22" fillId="4" borderId="21" xfId="5" applyNumberFormat="1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3" xfId="0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18" fillId="0" borderId="16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20" fillId="6" borderId="12" xfId="0" applyFont="1" applyFill="1" applyBorder="1" applyAlignment="1">
      <alignment horizontal="center" vertical="center" wrapText="1"/>
    </xf>
    <xf numFmtId="0" fontId="20" fillId="6" borderId="13" xfId="0" applyFont="1" applyFill="1" applyBorder="1" applyAlignment="1">
      <alignment horizontal="center" vertical="center" wrapText="1"/>
    </xf>
    <xf numFmtId="0" fontId="20" fillId="6" borderId="15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21" fillId="6" borderId="3" xfId="0" applyFont="1" applyFill="1" applyBorder="1" applyAlignment="1">
      <alignment horizontal="left" vertical="center" wrapText="1"/>
    </xf>
    <xf numFmtId="0" fontId="21" fillId="6" borderId="9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 wrapText="1"/>
    </xf>
    <xf numFmtId="0" fontId="20" fillId="6" borderId="9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7" fillId="8" borderId="21" xfId="0" applyFont="1" applyFill="1" applyBorder="1" applyAlignment="1">
      <alignment horizontal="center" vertical="center"/>
    </xf>
  </cellXfs>
  <cellStyles count="12">
    <cellStyle name="Moeda" xfId="2" builtinId="4"/>
    <cellStyle name="Moeda 2" xfId="9" xr:uid="{9F27CA6C-C6F9-44B9-873F-5889BF9C8275}"/>
    <cellStyle name="Normal" xfId="0" builtinId="0"/>
    <cellStyle name="Normal 2" xfId="4" xr:uid="{00000000-0005-0000-0000-000006000000}"/>
    <cellStyle name="Normal 3" xfId="8" xr:uid="{A8756AF5-BAEE-4AD3-83D8-6E9BCCC7B2CC}"/>
    <cellStyle name="Normal 4" xfId="10" xr:uid="{B07214CF-1C97-4F3C-BECD-E9629B2FFA61}"/>
    <cellStyle name="Porcentagem" xfId="3" builtinId="5"/>
    <cellStyle name="Porcentagem 2" xfId="7" xr:uid="{2471ECED-5228-4FA0-BC27-754CCBE00305}"/>
    <cellStyle name="TableStyleLight1" xfId="5" xr:uid="{00000000-0005-0000-0000-000007000000}"/>
    <cellStyle name="TableStyleLight1 2" xfId="6" xr:uid="{EAC7E34F-9839-4F72-9D52-C69C174952DE}"/>
    <cellStyle name="TableStyleLight1 3" xfId="11" xr:uid="{D6533C60-49E5-464B-AF76-116318694D34}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EEEEEE"/>
      <rgbColor rgb="FFDAE3F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99FF99"/>
      <rgbColor rgb="FFCCFFCC"/>
      <rgbColor rgb="FFFFFF99"/>
      <rgbColor rgb="FF66FFFF"/>
      <rgbColor rgb="FFFF99CC"/>
      <rgbColor rgb="FFCC99FF"/>
      <rgbColor rgb="FFFFCC99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1579320</xdr:colOff>
      <xdr:row>1</xdr:row>
      <xdr:rowOff>97920</xdr:rowOff>
    </xdr:from>
    <xdr:to>
      <xdr:col>5</xdr:col>
      <xdr:colOff>49070</xdr:colOff>
      <xdr:row>1</xdr:row>
      <xdr:rowOff>1178640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005200" y="97920"/>
          <a:ext cx="2636280" cy="10807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</xdr:col>
      <xdr:colOff>2095501</xdr:colOff>
      <xdr:row>1</xdr:row>
      <xdr:rowOff>207818</xdr:rowOff>
    </xdr:from>
    <xdr:to>
      <xdr:col>4</xdr:col>
      <xdr:colOff>383102</xdr:colOff>
      <xdr:row>1</xdr:row>
      <xdr:rowOff>1149938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5D546AA-56B8-4E14-97B8-18FC568828F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11137" y="207818"/>
          <a:ext cx="1967715" cy="942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20880</xdr:rowOff>
    </xdr:from>
    <xdr:to>
      <xdr:col>3</xdr:col>
      <xdr:colOff>1138</xdr:colOff>
      <xdr:row>21</xdr:row>
      <xdr:rowOff>822600</xdr:rowOff>
    </xdr:to>
    <xdr:pic>
      <xdr:nvPicPr>
        <xdr:cNvPr id="2" name="Figura 1">
          <a:extLst>
            <a:ext uri="{FF2B5EF4-FFF2-40B4-BE49-F238E27FC236}">
              <a16:creationId xmlns:a16="http://schemas.microsoft.com/office/drawing/2014/main" id="{C2654F7C-DF43-472D-AAA2-A5DF72429AB6}"/>
            </a:ext>
          </a:extLst>
        </xdr:cNvPr>
        <xdr:cNvPicPr/>
      </xdr:nvPicPr>
      <xdr:blipFill>
        <a:blip xmlns:r="http://schemas.openxmlformats.org/officeDocument/2006/relationships" r:embed="rId1"/>
        <a:srcRect l="7854" t="45774" r="13916" b="37685"/>
        <a:stretch/>
      </xdr:blipFill>
      <xdr:spPr>
        <a:xfrm>
          <a:off x="428625" y="3964230"/>
          <a:ext cx="6430513" cy="801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142541</xdr:colOff>
      <xdr:row>25</xdr:row>
      <xdr:rowOff>61465</xdr:rowOff>
    </xdr:from>
    <xdr:to>
      <xdr:col>2</xdr:col>
      <xdr:colOff>2762622</xdr:colOff>
      <xdr:row>29</xdr:row>
      <xdr:rowOff>33385</xdr:rowOff>
    </xdr:to>
    <xdr:pic>
      <xdr:nvPicPr>
        <xdr:cNvPr id="3" name="Figura 2">
          <a:extLst>
            <a:ext uri="{FF2B5EF4-FFF2-40B4-BE49-F238E27FC236}">
              <a16:creationId xmlns:a16="http://schemas.microsoft.com/office/drawing/2014/main" id="{36521F1B-A773-445F-8614-FD6F444B56BE}"/>
            </a:ext>
          </a:extLst>
        </xdr:cNvPr>
        <xdr:cNvPicPr/>
      </xdr:nvPicPr>
      <xdr:blipFill>
        <a:blip xmlns:r="http://schemas.openxmlformats.org/officeDocument/2006/relationships" r:embed="rId2"/>
        <a:srcRect l="17758" t="51097" r="20982" b="38299"/>
        <a:stretch/>
      </xdr:blipFill>
      <xdr:spPr>
        <a:xfrm>
          <a:off x="571166" y="6138415"/>
          <a:ext cx="6220531" cy="6196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FF"/>
  </sheetPr>
  <dimension ref="B1:IT65541"/>
  <sheetViews>
    <sheetView showGridLines="0" tabSelected="1" zoomScale="110" zoomScaleNormal="110" workbookViewId="0">
      <selection activeCell="I8" sqref="I8"/>
    </sheetView>
  </sheetViews>
  <sheetFormatPr defaultRowHeight="14.25"/>
  <cols>
    <col min="1" max="1" width="5.625" customWidth="1"/>
    <col min="2" max="2" width="5.5" style="5" customWidth="1"/>
    <col min="3" max="3" width="42.125" style="5" customWidth="1"/>
    <col min="4" max="4" width="6.125" style="5" customWidth="1"/>
    <col min="5" max="5" width="5.625" style="5" customWidth="1"/>
    <col min="6" max="6" width="15.25" style="5" customWidth="1"/>
    <col min="7" max="7" width="20" style="5" customWidth="1"/>
    <col min="8" max="254" width="10.625" style="5" customWidth="1"/>
    <col min="255" max="1026" width="10.5" customWidth="1"/>
  </cols>
  <sheetData>
    <row r="1" spans="2:7" ht="15" customHeight="1"/>
    <row r="2" spans="2:7" ht="103.7" customHeight="1">
      <c r="B2" s="228"/>
      <c r="C2" s="229"/>
      <c r="D2" s="229"/>
      <c r="E2" s="229"/>
      <c r="F2" s="229"/>
      <c r="G2" s="230"/>
    </row>
    <row r="3" spans="2:7" ht="18" customHeight="1">
      <c r="B3" s="4"/>
      <c r="C3" s="4"/>
      <c r="D3" s="4"/>
      <c r="E3" s="4"/>
      <c r="F3" s="4"/>
      <c r="G3" s="4"/>
    </row>
    <row r="4" spans="2:7" ht="18" customHeight="1">
      <c r="B4" s="231" t="s">
        <v>338</v>
      </c>
      <c r="C4" s="232"/>
      <c r="D4" s="232"/>
      <c r="E4" s="232"/>
      <c r="F4" s="232"/>
      <c r="G4" s="233"/>
    </row>
    <row r="5" spans="2:7" ht="18" customHeight="1">
      <c r="B5" s="4"/>
      <c r="C5" s="4"/>
      <c r="D5" s="4"/>
      <c r="E5" s="4"/>
      <c r="F5" s="4"/>
      <c r="G5" s="4"/>
    </row>
    <row r="6" spans="2:7" ht="20.100000000000001" customHeight="1">
      <c r="B6" s="234" t="s">
        <v>0</v>
      </c>
      <c r="C6" s="235"/>
      <c r="D6" s="235"/>
      <c r="E6" s="235"/>
      <c r="F6" s="235"/>
      <c r="G6" s="236"/>
    </row>
    <row r="7" spans="2:7" ht="20.100000000000001" customHeight="1">
      <c r="B7" s="241" t="s">
        <v>258</v>
      </c>
      <c r="C7" s="242"/>
      <c r="D7" s="242"/>
      <c r="E7" s="242"/>
      <c r="F7" s="242"/>
      <c r="G7" s="243"/>
    </row>
    <row r="8" spans="2:7" ht="20.100000000000001" customHeight="1">
      <c r="B8" s="237" t="s">
        <v>1</v>
      </c>
      <c r="C8" s="238"/>
      <c r="D8" s="238"/>
      <c r="E8" s="238"/>
      <c r="F8" s="238"/>
      <c r="G8" s="239"/>
    </row>
    <row r="9" spans="2:7" ht="15.75" customHeight="1">
      <c r="B9" s="4"/>
      <c r="C9" s="4"/>
      <c r="D9" s="4"/>
      <c r="E9" s="4"/>
      <c r="F9" s="4"/>
      <c r="G9" s="4"/>
    </row>
    <row r="10" spans="2:7" ht="42.2" customHeight="1">
      <c r="B10" s="151" t="s">
        <v>2</v>
      </c>
      <c r="C10" s="151" t="s">
        <v>3</v>
      </c>
      <c r="D10" s="151" t="s">
        <v>4</v>
      </c>
      <c r="E10" s="151" t="s">
        <v>5</v>
      </c>
      <c r="F10" s="151" t="s">
        <v>6</v>
      </c>
      <c r="G10" s="151" t="s">
        <v>7</v>
      </c>
    </row>
    <row r="11" spans="2:7" ht="81.599999999999994" customHeight="1">
      <c r="B11" s="152">
        <v>8</v>
      </c>
      <c r="C11" s="153" t="s">
        <v>259</v>
      </c>
      <c r="D11" s="154" t="s">
        <v>8</v>
      </c>
      <c r="E11" s="154">
        <v>12</v>
      </c>
      <c r="F11" s="155">
        <f>ROUND(Resumo!D7+Resumo!F7,2)</f>
        <v>119372.37</v>
      </c>
      <c r="G11" s="156">
        <f>F11*12</f>
        <v>1432468.44</v>
      </c>
    </row>
    <row r="12" spans="2:7" ht="42.4" customHeight="1">
      <c r="B12" s="240" t="s">
        <v>337</v>
      </c>
      <c r="C12" s="240"/>
      <c r="D12" s="240"/>
      <c r="E12" s="240"/>
      <c r="F12" s="240"/>
      <c r="G12" s="240"/>
    </row>
    <row r="65541" ht="12.75" customHeight="1"/>
  </sheetData>
  <mergeCells count="6">
    <mergeCell ref="B2:G2"/>
    <mergeCell ref="B4:G4"/>
    <mergeCell ref="B6:G6"/>
    <mergeCell ref="B8:G8"/>
    <mergeCell ref="B12:G12"/>
    <mergeCell ref="B7:G7"/>
  </mergeCells>
  <printOptions horizontalCentered="1"/>
  <pageMargins left="0.78749999999999998" right="0.78749999999999998" top="0.196527777777778" bottom="0.196527777777778" header="0.51180555555555496" footer="0.51180555555555496"/>
  <pageSetup paperSize="9" pageOrder="overThenDown" orientation="portrait" useFirstPageNumber="1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9F24D-408E-4A5A-B74D-3EBFAFF37DA9}">
  <sheetPr>
    <tabColor theme="0"/>
  </sheetPr>
  <dimension ref="B1:E25"/>
  <sheetViews>
    <sheetView zoomScale="110" zoomScaleNormal="110" workbookViewId="0">
      <selection activeCell="E21" sqref="E21"/>
    </sheetView>
  </sheetViews>
  <sheetFormatPr defaultColWidth="10.125" defaultRowHeight="12.75"/>
  <cols>
    <col min="1" max="1" width="5.625" style="190" customWidth="1"/>
    <col min="2" max="2" width="47.25" style="190" customWidth="1"/>
    <col min="3" max="3" width="37.125" style="190" customWidth="1"/>
    <col min="4" max="4" width="29.875" style="190" customWidth="1"/>
    <col min="5" max="5" width="14.25" style="190" customWidth="1"/>
    <col min="6" max="16384" width="10.125" style="190"/>
  </cols>
  <sheetData>
    <row r="1" spans="2:5" ht="15" customHeight="1"/>
    <row r="2" spans="2:5">
      <c r="C2" s="191" t="s">
        <v>261</v>
      </c>
    </row>
    <row r="3" spans="2:5">
      <c r="B3" s="192" t="s">
        <v>262</v>
      </c>
      <c r="C3" s="191" t="s">
        <v>263</v>
      </c>
    </row>
    <row r="4" spans="2:5" ht="15">
      <c r="B4" s="192" t="s">
        <v>264</v>
      </c>
      <c r="C4" s="193" t="s">
        <v>265</v>
      </c>
    </row>
    <row r="5" spans="2:5">
      <c r="B5" s="192" t="s">
        <v>266</v>
      </c>
      <c r="C5" s="193">
        <v>45078</v>
      </c>
    </row>
    <row r="6" spans="2:5" ht="25.5">
      <c r="B6" s="192" t="s">
        <v>267</v>
      </c>
      <c r="C6" s="193" t="s">
        <v>268</v>
      </c>
    </row>
    <row r="7" spans="2:5">
      <c r="B7" s="192" t="s">
        <v>269</v>
      </c>
      <c r="C7" s="194">
        <v>2140.6</v>
      </c>
    </row>
    <row r="8" spans="2:5">
      <c r="B8" s="195"/>
      <c r="C8" s="196"/>
    </row>
    <row r="9" spans="2:5" ht="25.5">
      <c r="B9" s="197" t="s">
        <v>270</v>
      </c>
      <c r="C9" s="192"/>
    </row>
    <row r="10" spans="2:5">
      <c r="B10" s="192" t="s">
        <v>271</v>
      </c>
      <c r="C10" s="198">
        <v>0.83340000000000003</v>
      </c>
    </row>
    <row r="11" spans="2:5">
      <c r="B11" s="192" t="s">
        <v>272</v>
      </c>
      <c r="C11" s="198">
        <v>0.4632</v>
      </c>
    </row>
    <row r="12" spans="2:5">
      <c r="B12" s="192" t="s">
        <v>273</v>
      </c>
      <c r="C12" s="198">
        <v>1.1276999999999999</v>
      </c>
    </row>
    <row r="13" spans="2:5">
      <c r="B13" s="192" t="s">
        <v>274</v>
      </c>
      <c r="C13" s="198">
        <v>0.69879999999999998</v>
      </c>
    </row>
    <row r="14" spans="2:5" ht="14.1" customHeight="1">
      <c r="B14" s="195"/>
      <c r="C14" s="195"/>
    </row>
    <row r="15" spans="2:5">
      <c r="B15" s="199" t="s">
        <v>275</v>
      </c>
      <c r="C15" s="200"/>
    </row>
    <row r="16" spans="2:5" ht="15.75">
      <c r="B16" s="192" t="s">
        <v>276</v>
      </c>
      <c r="C16" s="200">
        <f>C7*(1+C11)</f>
        <v>3132.12592</v>
      </c>
      <c r="D16" s="201"/>
      <c r="E16" s="201"/>
    </row>
    <row r="17" spans="2:5" ht="15.75">
      <c r="B17" s="192" t="s">
        <v>277</v>
      </c>
      <c r="C17" s="200">
        <f>C7*(1+C13)</f>
        <v>3636.4512799999998</v>
      </c>
      <c r="D17" s="201"/>
      <c r="E17" s="201"/>
    </row>
    <row r="18" spans="2:5" ht="15.75">
      <c r="B18" s="192" t="s">
        <v>278</v>
      </c>
      <c r="C18" s="202">
        <f>C16*(1+C10)/(220*(1+C11))</f>
        <v>17.838982000000001</v>
      </c>
      <c r="D18" s="203"/>
      <c r="E18" s="201"/>
    </row>
    <row r="19" spans="2:5" ht="15.75">
      <c r="B19" s="192" t="s">
        <v>279</v>
      </c>
      <c r="C19" s="202">
        <f>(C17*(1+C12)/(220*(1+C13)))</f>
        <v>20.702520999999997</v>
      </c>
      <c r="D19" s="203"/>
      <c r="E19" s="201"/>
    </row>
    <row r="21" spans="2:5">
      <c r="B21" s="190" t="s">
        <v>280</v>
      </c>
    </row>
    <row r="22" spans="2:5" ht="69.95" customHeight="1"/>
    <row r="23" spans="2:5" ht="34.5" customHeight="1">
      <c r="B23" s="305" t="s">
        <v>281</v>
      </c>
      <c r="C23" s="305"/>
    </row>
    <row r="24" spans="2:5" ht="34.35" customHeight="1">
      <c r="B24" s="305" t="s">
        <v>282</v>
      </c>
      <c r="C24" s="305"/>
    </row>
    <row r="25" spans="2:5" ht="30" customHeight="1">
      <c r="B25" s="305" t="s">
        <v>283</v>
      </c>
      <c r="C25" s="305"/>
    </row>
  </sheetData>
  <mergeCells count="3">
    <mergeCell ref="B23:C23"/>
    <mergeCell ref="B24:C24"/>
    <mergeCell ref="B25:C25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&amp;CPágina &amp;P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F3765-F0BD-4173-9AB5-02FD7CDF9016}">
  <sheetPr>
    <tabColor rgb="FFFFFFFF"/>
  </sheetPr>
  <dimension ref="B1:K22"/>
  <sheetViews>
    <sheetView zoomScale="110" zoomScaleNormal="110" workbookViewId="0">
      <selection activeCell="L12" sqref="L12"/>
    </sheetView>
  </sheetViews>
  <sheetFormatPr defaultColWidth="8.125" defaultRowHeight="12.75"/>
  <cols>
    <col min="1" max="1" width="5.625" style="204" customWidth="1"/>
    <col min="2" max="2" width="2.875" style="204" customWidth="1"/>
    <col min="3" max="3" width="11.75" style="204" customWidth="1"/>
    <col min="4" max="4" width="57.75" style="204" customWidth="1"/>
    <col min="5" max="5" width="28.875" style="204" customWidth="1"/>
    <col min="6" max="6" width="9.625" style="204" customWidth="1"/>
    <col min="7" max="7" width="13.25" style="204" customWidth="1"/>
    <col min="8" max="8" width="11.5" style="204" customWidth="1"/>
    <col min="9" max="9" width="13.5" style="204" customWidth="1"/>
    <col min="10" max="1026" width="8.25" style="204" customWidth="1"/>
    <col min="1027" max="16384" width="8.125" style="204"/>
  </cols>
  <sheetData>
    <row r="1" spans="2:11" ht="15" customHeight="1"/>
    <row r="2" spans="2:11" ht="24.75" customHeight="1">
      <c r="B2" s="306" t="s">
        <v>284</v>
      </c>
      <c r="C2" s="306"/>
      <c r="D2" s="306"/>
      <c r="E2" s="306"/>
      <c r="F2" s="306"/>
      <c r="G2" s="306"/>
      <c r="H2" s="306"/>
      <c r="I2" s="306"/>
    </row>
    <row r="3" spans="2:11" ht="21" customHeight="1"/>
    <row r="4" spans="2:11" ht="16.5" customHeight="1">
      <c r="B4" s="307" t="s">
        <v>285</v>
      </c>
      <c r="C4" s="307"/>
      <c r="D4" s="307"/>
      <c r="E4" s="307"/>
      <c r="F4" s="307"/>
      <c r="G4" s="307"/>
      <c r="H4" s="307"/>
      <c r="I4" s="307"/>
    </row>
    <row r="5" spans="2:11" ht="16.5" customHeight="1">
      <c r="B5" s="308" t="s">
        <v>111</v>
      </c>
      <c r="C5" s="308"/>
      <c r="D5" s="309">
        <v>88264</v>
      </c>
      <c r="E5" s="309"/>
      <c r="F5" s="309"/>
      <c r="G5" s="309"/>
      <c r="H5" s="309"/>
      <c r="I5" s="309"/>
    </row>
    <row r="6" spans="2:11" ht="16.5" customHeight="1">
      <c r="B6" s="308" t="s">
        <v>98</v>
      </c>
      <c r="C6" s="308"/>
      <c r="D6" s="309" t="s">
        <v>286</v>
      </c>
      <c r="E6" s="309"/>
      <c r="F6" s="309"/>
      <c r="G6" s="309"/>
      <c r="H6" s="309"/>
      <c r="I6" s="309"/>
    </row>
    <row r="7" spans="2:11" ht="16.5" customHeight="1">
      <c r="B7" s="308" t="s">
        <v>114</v>
      </c>
      <c r="C7" s="308"/>
      <c r="D7" s="313" t="s">
        <v>287</v>
      </c>
      <c r="E7" s="313"/>
      <c r="F7" s="313"/>
      <c r="G7" s="313"/>
      <c r="H7" s="313"/>
      <c r="I7" s="313"/>
    </row>
    <row r="8" spans="2:11" ht="16.5" customHeight="1">
      <c r="B8" s="308" t="s">
        <v>115</v>
      </c>
      <c r="C8" s="308"/>
      <c r="D8" s="309" t="s">
        <v>261</v>
      </c>
      <c r="E8" s="309"/>
      <c r="F8" s="309"/>
      <c r="G8" s="309"/>
      <c r="H8" s="309"/>
      <c r="I8" s="309"/>
    </row>
    <row r="9" spans="2:11" ht="16.5" customHeight="1">
      <c r="B9" s="308" t="s">
        <v>116</v>
      </c>
      <c r="C9" s="308"/>
      <c r="D9" s="309" t="s">
        <v>288</v>
      </c>
      <c r="E9" s="309"/>
      <c r="F9" s="309"/>
      <c r="G9" s="309"/>
      <c r="H9" s="309"/>
      <c r="I9" s="309"/>
    </row>
    <row r="10" spans="2:11" ht="16.5" customHeight="1">
      <c r="B10" s="308" t="s">
        <v>99</v>
      </c>
      <c r="C10" s="308"/>
      <c r="D10" s="309" t="s">
        <v>121</v>
      </c>
      <c r="E10" s="309"/>
      <c r="F10" s="309"/>
      <c r="G10" s="309"/>
      <c r="H10" s="309"/>
      <c r="I10" s="309"/>
    </row>
    <row r="11" spans="2:11" ht="23.25" customHeight="1">
      <c r="B11" s="310" t="s">
        <v>118</v>
      </c>
      <c r="C11" s="310"/>
      <c r="D11" s="311">
        <f>SUM(I14:I22)</f>
        <v>27.39</v>
      </c>
      <c r="E11" s="311"/>
      <c r="F11" s="311"/>
      <c r="G11" s="311"/>
      <c r="H11" s="311"/>
      <c r="I11" s="311"/>
    </row>
    <row r="12" spans="2:11" ht="15.75" customHeight="1">
      <c r="B12" s="205"/>
      <c r="C12" s="205"/>
      <c r="D12" s="206"/>
      <c r="E12" s="206"/>
      <c r="F12" s="206"/>
      <c r="G12" s="206"/>
      <c r="H12" s="206"/>
      <c r="I12" s="206"/>
    </row>
    <row r="13" spans="2:11" ht="45">
      <c r="B13" s="207"/>
      <c r="C13" s="207" t="s">
        <v>134</v>
      </c>
      <c r="D13" s="207" t="s">
        <v>98</v>
      </c>
      <c r="E13" s="207" t="s">
        <v>116</v>
      </c>
      <c r="F13" s="207" t="s">
        <v>99</v>
      </c>
      <c r="G13" s="207" t="s">
        <v>289</v>
      </c>
      <c r="H13" s="207" t="s">
        <v>119</v>
      </c>
      <c r="I13" s="207" t="s">
        <v>118</v>
      </c>
    </row>
    <row r="14" spans="2:11" ht="27.75" customHeight="1">
      <c r="B14" s="208" t="s">
        <v>120</v>
      </c>
      <c r="C14" s="208">
        <v>95332</v>
      </c>
      <c r="D14" s="208" t="s">
        <v>290</v>
      </c>
      <c r="E14" s="208" t="s">
        <v>288</v>
      </c>
      <c r="F14" s="208" t="s">
        <v>121</v>
      </c>
      <c r="G14" s="209">
        <v>0.86</v>
      </c>
      <c r="H14" s="210">
        <v>1</v>
      </c>
      <c r="I14" s="211">
        <f t="shared" ref="I14:I22" si="0">G14*H14</f>
        <v>0.86</v>
      </c>
      <c r="J14" s="212"/>
      <c r="K14" s="212"/>
    </row>
    <row r="15" spans="2:11" ht="32.85" customHeight="1">
      <c r="B15" s="208" t="s">
        <v>185</v>
      </c>
      <c r="C15" s="208" t="s">
        <v>291</v>
      </c>
      <c r="D15" s="208" t="s">
        <v>292</v>
      </c>
      <c r="E15" s="208" t="s">
        <v>293</v>
      </c>
      <c r="F15" s="208" t="s">
        <v>121</v>
      </c>
      <c r="G15" s="209">
        <v>20.7</v>
      </c>
      <c r="H15" s="210">
        <v>1</v>
      </c>
      <c r="I15" s="211">
        <f t="shared" si="0"/>
        <v>20.7</v>
      </c>
      <c r="J15" s="212"/>
      <c r="K15" s="212"/>
    </row>
    <row r="16" spans="2:11" ht="42" customHeight="1">
      <c r="B16" s="208" t="s">
        <v>185</v>
      </c>
      <c r="C16" s="208">
        <v>37370</v>
      </c>
      <c r="D16" s="208" t="s">
        <v>294</v>
      </c>
      <c r="E16" s="208" t="s">
        <v>295</v>
      </c>
      <c r="F16" s="208" t="s">
        <v>121</v>
      </c>
      <c r="G16" s="209">
        <v>1.27</v>
      </c>
      <c r="H16" s="210">
        <v>1</v>
      </c>
      <c r="I16" s="211">
        <f t="shared" si="0"/>
        <v>1.27</v>
      </c>
      <c r="J16" s="212"/>
      <c r="K16" s="212"/>
    </row>
    <row r="17" spans="2:11" ht="27.75" customHeight="1">
      <c r="B17" s="208" t="s">
        <v>185</v>
      </c>
      <c r="C17" s="208">
        <v>37371</v>
      </c>
      <c r="D17" s="208" t="s">
        <v>296</v>
      </c>
      <c r="E17" s="208" t="s">
        <v>297</v>
      </c>
      <c r="F17" s="208" t="s">
        <v>121</v>
      </c>
      <c r="G17" s="209">
        <v>1.03</v>
      </c>
      <c r="H17" s="210">
        <v>1</v>
      </c>
      <c r="I17" s="211">
        <f t="shared" si="0"/>
        <v>1.03</v>
      </c>
      <c r="J17" s="212"/>
      <c r="K17" s="212"/>
    </row>
    <row r="18" spans="2:11" ht="42" customHeight="1">
      <c r="B18" s="208" t="s">
        <v>185</v>
      </c>
      <c r="C18" s="208">
        <v>37372</v>
      </c>
      <c r="D18" s="208" t="s">
        <v>298</v>
      </c>
      <c r="E18" s="208" t="s">
        <v>295</v>
      </c>
      <c r="F18" s="208" t="s">
        <v>121</v>
      </c>
      <c r="G18" s="209">
        <v>1.1399999999999999</v>
      </c>
      <c r="H18" s="210">
        <v>1</v>
      </c>
      <c r="I18" s="211">
        <f t="shared" si="0"/>
        <v>1.1399999999999999</v>
      </c>
      <c r="J18" s="212"/>
      <c r="K18" s="212"/>
    </row>
    <row r="19" spans="2:11" ht="27.75" customHeight="1">
      <c r="B19" s="208" t="s">
        <v>185</v>
      </c>
      <c r="C19" s="208">
        <v>37373</v>
      </c>
      <c r="D19" s="208" t="s">
        <v>299</v>
      </c>
      <c r="E19" s="208" t="s">
        <v>300</v>
      </c>
      <c r="F19" s="208" t="s">
        <v>121</v>
      </c>
      <c r="G19" s="209">
        <v>7.0000000000000007E-2</v>
      </c>
      <c r="H19" s="210">
        <v>1</v>
      </c>
      <c r="I19" s="211">
        <f t="shared" si="0"/>
        <v>7.0000000000000007E-2</v>
      </c>
      <c r="J19" s="212"/>
      <c r="K19" s="212"/>
    </row>
    <row r="20" spans="2:11" ht="27.75" customHeight="1">
      <c r="B20" s="208" t="s">
        <v>185</v>
      </c>
      <c r="C20" s="208">
        <v>43460</v>
      </c>
      <c r="D20" s="208" t="s">
        <v>301</v>
      </c>
      <c r="E20" s="208" t="s">
        <v>302</v>
      </c>
      <c r="F20" s="208" t="s">
        <v>121</v>
      </c>
      <c r="G20" s="209">
        <v>0.86</v>
      </c>
      <c r="H20" s="210">
        <v>1</v>
      </c>
      <c r="I20" s="211">
        <f t="shared" si="0"/>
        <v>0.86</v>
      </c>
      <c r="J20" s="212"/>
      <c r="K20" s="212"/>
    </row>
    <row r="21" spans="2:11" ht="29.25" customHeight="1">
      <c r="B21" s="213" t="s">
        <v>185</v>
      </c>
      <c r="C21" s="213">
        <v>43461</v>
      </c>
      <c r="D21" s="213" t="s">
        <v>303</v>
      </c>
      <c r="E21" s="213" t="s">
        <v>302</v>
      </c>
      <c r="F21" s="213" t="s">
        <v>121</v>
      </c>
      <c r="G21" s="214">
        <v>0.32</v>
      </c>
      <c r="H21" s="215">
        <v>1</v>
      </c>
      <c r="I21" s="216">
        <f t="shared" si="0"/>
        <v>0.32</v>
      </c>
      <c r="J21" s="212"/>
      <c r="K21" s="212"/>
    </row>
    <row r="22" spans="2:11" ht="27.75" customHeight="1">
      <c r="B22" s="208" t="s">
        <v>185</v>
      </c>
      <c r="C22" s="208">
        <v>43484</v>
      </c>
      <c r="D22" s="208" t="s">
        <v>304</v>
      </c>
      <c r="E22" s="208" t="s">
        <v>302</v>
      </c>
      <c r="F22" s="208" t="s">
        <v>121</v>
      </c>
      <c r="G22" s="209">
        <v>1.1399999999999999</v>
      </c>
      <c r="H22" s="210">
        <v>1</v>
      </c>
      <c r="I22" s="211">
        <f t="shared" si="0"/>
        <v>1.1399999999999999</v>
      </c>
      <c r="J22" s="212"/>
      <c r="K22" s="212"/>
    </row>
  </sheetData>
  <mergeCells count="16">
    <mergeCell ref="B10:C10"/>
    <mergeCell ref="D10:I10"/>
    <mergeCell ref="B11:C11"/>
    <mergeCell ref="D11:I11"/>
    <mergeCell ref="B7:C7"/>
    <mergeCell ref="D7:I7"/>
    <mergeCell ref="B8:C8"/>
    <mergeCell ref="D8:I8"/>
    <mergeCell ref="B9:C9"/>
    <mergeCell ref="D9:I9"/>
    <mergeCell ref="B2:I2"/>
    <mergeCell ref="B4:I4"/>
    <mergeCell ref="B5:C5"/>
    <mergeCell ref="D5:I5"/>
    <mergeCell ref="B6:C6"/>
    <mergeCell ref="D6:I6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FF"/>
  </sheetPr>
  <dimension ref="B1:I32"/>
  <sheetViews>
    <sheetView showGridLines="0" zoomScale="108" zoomScaleNormal="108" workbookViewId="0">
      <selection activeCell="K10" sqref="K10"/>
    </sheetView>
  </sheetViews>
  <sheetFormatPr defaultRowHeight="14.25"/>
  <cols>
    <col min="1" max="1" width="5.625" customWidth="1"/>
    <col min="2" max="2" width="3" customWidth="1"/>
    <col min="3" max="3" width="12.25" customWidth="1"/>
    <col min="4" max="4" width="60" customWidth="1"/>
    <col min="5" max="5" width="30" customWidth="1"/>
    <col min="6" max="6" width="10" customWidth="1"/>
    <col min="7" max="7" width="13.75" customWidth="1"/>
    <col min="8" max="8" width="12" customWidth="1"/>
    <col min="9" max="9" width="14" customWidth="1"/>
    <col min="10" max="1026" width="8.625" customWidth="1"/>
  </cols>
  <sheetData>
    <row r="1" spans="2:9" ht="15" customHeight="1"/>
    <row r="2" spans="2:9" ht="24.75" customHeight="1">
      <c r="B2" s="328" t="s">
        <v>110</v>
      </c>
      <c r="C2" s="328"/>
      <c r="D2" s="328"/>
      <c r="E2" s="328"/>
      <c r="F2" s="328"/>
      <c r="G2" s="328"/>
      <c r="H2" s="328"/>
      <c r="I2" s="328"/>
    </row>
    <row r="3" spans="2:9" ht="21" customHeight="1"/>
    <row r="4" spans="2:9" ht="17.100000000000001" customHeight="1">
      <c r="B4" s="314" t="s">
        <v>133</v>
      </c>
      <c r="C4" s="314"/>
      <c r="D4" s="314"/>
      <c r="E4" s="314"/>
      <c r="F4" s="314"/>
      <c r="G4" s="314"/>
      <c r="H4" s="314"/>
      <c r="I4" s="314"/>
    </row>
    <row r="5" spans="2:9" ht="17.100000000000001" customHeight="1">
      <c r="B5" s="315" t="s">
        <v>111</v>
      </c>
      <c r="C5" s="315"/>
      <c r="D5" s="316" t="s">
        <v>112</v>
      </c>
      <c r="E5" s="316"/>
      <c r="F5" s="316"/>
      <c r="G5" s="316"/>
      <c r="H5" s="316"/>
      <c r="I5" s="316"/>
    </row>
    <row r="6" spans="2:9" ht="17.100000000000001" customHeight="1">
      <c r="B6" s="315" t="s">
        <v>98</v>
      </c>
      <c r="C6" s="315"/>
      <c r="D6" s="316" t="s">
        <v>113</v>
      </c>
      <c r="E6" s="316"/>
      <c r="F6" s="316"/>
      <c r="G6" s="316"/>
      <c r="H6" s="316"/>
      <c r="I6" s="316"/>
    </row>
    <row r="7" spans="2:9" ht="17.100000000000001" customHeight="1">
      <c r="B7" s="315" t="s">
        <v>114</v>
      </c>
      <c r="C7" s="315"/>
      <c r="D7" s="317" t="s">
        <v>287</v>
      </c>
      <c r="E7" s="317"/>
      <c r="F7" s="317"/>
      <c r="G7" s="317"/>
      <c r="H7" s="317"/>
      <c r="I7" s="317"/>
    </row>
    <row r="8" spans="2:9" ht="17.100000000000001" customHeight="1">
      <c r="B8" s="315" t="s">
        <v>115</v>
      </c>
      <c r="C8" s="315"/>
      <c r="D8" s="316" t="s">
        <v>256</v>
      </c>
      <c r="E8" s="316"/>
      <c r="F8" s="316"/>
      <c r="G8" s="316"/>
      <c r="H8" s="316"/>
      <c r="I8" s="316"/>
    </row>
    <row r="9" spans="2:9" ht="17.100000000000001" customHeight="1">
      <c r="B9" s="315" t="s">
        <v>116</v>
      </c>
      <c r="C9" s="315"/>
      <c r="D9" s="316" t="s">
        <v>117</v>
      </c>
      <c r="E9" s="316"/>
      <c r="F9" s="316"/>
      <c r="G9" s="316"/>
      <c r="H9" s="316"/>
      <c r="I9" s="316"/>
    </row>
    <row r="10" spans="2:9" ht="17.100000000000001" customHeight="1">
      <c r="B10" s="315" t="s">
        <v>99</v>
      </c>
      <c r="C10" s="315"/>
      <c r="D10" s="316" t="s">
        <v>103</v>
      </c>
      <c r="E10" s="316"/>
      <c r="F10" s="316"/>
      <c r="G10" s="316"/>
      <c r="H10" s="316"/>
      <c r="I10" s="316"/>
    </row>
    <row r="11" spans="2:9" ht="23.85" customHeight="1">
      <c r="B11" s="318" t="s">
        <v>118</v>
      </c>
      <c r="C11" s="318"/>
      <c r="D11" s="332">
        <f>SUM(I14:I18)</f>
        <v>50.55</v>
      </c>
      <c r="E11" s="332"/>
      <c r="F11" s="332"/>
      <c r="G11" s="332"/>
      <c r="H11" s="332"/>
      <c r="I11" s="332"/>
    </row>
    <row r="12" spans="2:9" ht="15.75" customHeight="1">
      <c r="B12" s="134"/>
      <c r="C12" s="134"/>
      <c r="D12" s="135"/>
      <c r="E12" s="135"/>
      <c r="F12" s="135"/>
      <c r="G12" s="135"/>
      <c r="H12" s="135"/>
      <c r="I12" s="135"/>
    </row>
    <row r="13" spans="2:9" ht="29.65" customHeight="1">
      <c r="B13" s="136"/>
      <c r="C13" s="136" t="s">
        <v>134</v>
      </c>
      <c r="D13" s="136" t="s">
        <v>98</v>
      </c>
      <c r="E13" s="136" t="s">
        <v>116</v>
      </c>
      <c r="F13" s="136" t="s">
        <v>99</v>
      </c>
      <c r="G13" s="136" t="s">
        <v>118</v>
      </c>
      <c r="H13" s="136" t="s">
        <v>119</v>
      </c>
      <c r="I13" s="136" t="s">
        <v>118</v>
      </c>
    </row>
    <row r="14" spans="2:9" ht="28.35" customHeight="1">
      <c r="B14" s="138" t="s">
        <v>120</v>
      </c>
      <c r="C14" s="138" t="s">
        <v>123</v>
      </c>
      <c r="D14" s="137" t="s">
        <v>124</v>
      </c>
      <c r="E14" s="137" t="s">
        <v>117</v>
      </c>
      <c r="F14" s="138" t="s">
        <v>121</v>
      </c>
      <c r="G14" s="172">
        <v>4.8600000000000003</v>
      </c>
      <c r="H14" s="172" t="s">
        <v>122</v>
      </c>
      <c r="I14" s="172">
        <f>G14*H14</f>
        <v>4.8600000000000003</v>
      </c>
    </row>
    <row r="15" spans="2:9" ht="28.35" customHeight="1">
      <c r="B15" s="138" t="s">
        <v>120</v>
      </c>
      <c r="C15" s="138" t="s">
        <v>125</v>
      </c>
      <c r="D15" s="137" t="s">
        <v>126</v>
      </c>
      <c r="E15" s="137" t="s">
        <v>117</v>
      </c>
      <c r="F15" s="138" t="s">
        <v>121</v>
      </c>
      <c r="G15" s="172">
        <v>1.49</v>
      </c>
      <c r="H15" s="172" t="s">
        <v>122</v>
      </c>
      <c r="I15" s="172">
        <f>G15*H15</f>
        <v>1.49</v>
      </c>
    </row>
    <row r="16" spans="2:9" ht="42.6" customHeight="1">
      <c r="B16" s="138" t="s">
        <v>120</v>
      </c>
      <c r="C16" s="138" t="s">
        <v>127</v>
      </c>
      <c r="D16" s="137" t="s">
        <v>128</v>
      </c>
      <c r="E16" s="137" t="s">
        <v>117</v>
      </c>
      <c r="F16" s="138" t="s">
        <v>121</v>
      </c>
      <c r="G16" s="172">
        <v>0.6</v>
      </c>
      <c r="H16" s="172" t="s">
        <v>122</v>
      </c>
      <c r="I16" s="172">
        <f>G16*H16</f>
        <v>0.6</v>
      </c>
    </row>
    <row r="17" spans="2:9" ht="28.35" customHeight="1">
      <c r="B17" s="138" t="s">
        <v>120</v>
      </c>
      <c r="C17" s="138" t="s">
        <v>129</v>
      </c>
      <c r="D17" s="137" t="s">
        <v>130</v>
      </c>
      <c r="E17" s="137" t="s">
        <v>117</v>
      </c>
      <c r="F17" s="138" t="s">
        <v>121</v>
      </c>
      <c r="G17" s="172">
        <v>6.07</v>
      </c>
      <c r="H17" s="172" t="s">
        <v>122</v>
      </c>
      <c r="I17" s="172">
        <f>G17*H17</f>
        <v>6.07</v>
      </c>
    </row>
    <row r="18" spans="2:9" ht="42.6" customHeight="1">
      <c r="B18" s="138" t="s">
        <v>120</v>
      </c>
      <c r="C18" s="138" t="s">
        <v>131</v>
      </c>
      <c r="D18" s="137" t="s">
        <v>132</v>
      </c>
      <c r="E18" s="137" t="s">
        <v>117</v>
      </c>
      <c r="F18" s="138" t="s">
        <v>121</v>
      </c>
      <c r="G18" s="172">
        <v>37.53</v>
      </c>
      <c r="H18" s="172" t="s">
        <v>122</v>
      </c>
      <c r="I18" s="172">
        <f>G18*H18</f>
        <v>37.53</v>
      </c>
    </row>
    <row r="19" spans="2:9" ht="28.35" customHeight="1"/>
    <row r="20" spans="2:9" ht="17.100000000000001" customHeight="1">
      <c r="B20" s="329" t="s">
        <v>137</v>
      </c>
      <c r="C20" s="330"/>
      <c r="D20" s="330"/>
      <c r="E20" s="330"/>
      <c r="F20" s="330"/>
      <c r="G20" s="330"/>
      <c r="H20" s="330"/>
      <c r="I20" s="331"/>
    </row>
    <row r="21" spans="2:9" ht="17.100000000000001" customHeight="1">
      <c r="B21" s="322" t="s">
        <v>111</v>
      </c>
      <c r="C21" s="323"/>
      <c r="D21" s="327" t="s">
        <v>135</v>
      </c>
      <c r="E21" s="325"/>
      <c r="F21" s="325"/>
      <c r="G21" s="325"/>
      <c r="H21" s="325"/>
      <c r="I21" s="326"/>
    </row>
    <row r="22" spans="2:9" ht="17.100000000000001" customHeight="1">
      <c r="B22" s="322" t="s">
        <v>98</v>
      </c>
      <c r="C22" s="323"/>
      <c r="D22" s="327" t="s">
        <v>136</v>
      </c>
      <c r="E22" s="325"/>
      <c r="F22" s="325"/>
      <c r="G22" s="325"/>
      <c r="H22" s="325"/>
      <c r="I22" s="326"/>
    </row>
    <row r="23" spans="2:9" ht="17.100000000000001" customHeight="1">
      <c r="B23" s="322" t="s">
        <v>114</v>
      </c>
      <c r="C23" s="323"/>
      <c r="D23" s="324" t="str">
        <f>D7</f>
        <v>10/2023</v>
      </c>
      <c r="E23" s="325"/>
      <c r="F23" s="325"/>
      <c r="G23" s="325"/>
      <c r="H23" s="325"/>
      <c r="I23" s="326"/>
    </row>
    <row r="24" spans="2:9" ht="17.100000000000001" customHeight="1">
      <c r="B24" s="322" t="s">
        <v>115</v>
      </c>
      <c r="C24" s="323"/>
      <c r="D24" s="327" t="str">
        <f>D8</f>
        <v>Rio Grande do Sul</v>
      </c>
      <c r="E24" s="325"/>
      <c r="F24" s="325"/>
      <c r="G24" s="325"/>
      <c r="H24" s="325"/>
      <c r="I24" s="326"/>
    </row>
    <row r="25" spans="2:9" ht="17.100000000000001" customHeight="1">
      <c r="B25" s="322" t="s">
        <v>116</v>
      </c>
      <c r="C25" s="323"/>
      <c r="D25" s="327" t="s">
        <v>117</v>
      </c>
      <c r="E25" s="325"/>
      <c r="F25" s="325"/>
      <c r="G25" s="325"/>
      <c r="H25" s="325"/>
      <c r="I25" s="326"/>
    </row>
    <row r="26" spans="2:9" ht="17.100000000000001" customHeight="1">
      <c r="B26" s="322" t="s">
        <v>99</v>
      </c>
      <c r="C26" s="323"/>
      <c r="D26" s="327" t="s">
        <v>105</v>
      </c>
      <c r="E26" s="325"/>
      <c r="F26" s="325"/>
      <c r="G26" s="325"/>
      <c r="H26" s="325"/>
      <c r="I26" s="326"/>
    </row>
    <row r="27" spans="2:9" ht="23.85" customHeight="1">
      <c r="B27" s="318" t="s">
        <v>118</v>
      </c>
      <c r="C27" s="318"/>
      <c r="D27" s="319">
        <f>SUM(I30:I32)</f>
        <v>6.95</v>
      </c>
      <c r="E27" s="320"/>
      <c r="F27" s="320"/>
      <c r="G27" s="320"/>
      <c r="H27" s="320"/>
      <c r="I27" s="321"/>
    </row>
    <row r="28" spans="2:9" ht="15.75" customHeight="1">
      <c r="B28" s="134"/>
      <c r="C28" s="134"/>
      <c r="D28" s="135"/>
      <c r="E28" s="135"/>
      <c r="F28" s="135"/>
      <c r="G28" s="135"/>
      <c r="H28" s="135"/>
      <c r="I28" s="135"/>
    </row>
    <row r="29" spans="2:9" ht="29.65" customHeight="1">
      <c r="B29" s="136"/>
      <c r="C29" s="136" t="s">
        <v>134</v>
      </c>
      <c r="D29" s="136" t="s">
        <v>98</v>
      </c>
      <c r="E29" s="136" t="s">
        <v>116</v>
      </c>
      <c r="F29" s="136" t="s">
        <v>99</v>
      </c>
      <c r="G29" s="136" t="s">
        <v>118</v>
      </c>
      <c r="H29" s="136" t="s">
        <v>119</v>
      </c>
      <c r="I29" s="136" t="s">
        <v>118</v>
      </c>
    </row>
    <row r="30" spans="2:9" ht="28.35" customHeight="1">
      <c r="B30" s="138" t="s">
        <v>120</v>
      </c>
      <c r="C30" s="138" t="s">
        <v>123</v>
      </c>
      <c r="D30" s="137" t="s">
        <v>124</v>
      </c>
      <c r="E30" s="137" t="s">
        <v>117</v>
      </c>
      <c r="F30" s="138" t="s">
        <v>121</v>
      </c>
      <c r="G30" s="172">
        <f>G14</f>
        <v>4.8600000000000003</v>
      </c>
      <c r="H30" s="173" t="s">
        <v>122</v>
      </c>
      <c r="I30" s="172">
        <f>G30*H30</f>
        <v>4.8600000000000003</v>
      </c>
    </row>
    <row r="31" spans="2:9" ht="28.35" customHeight="1">
      <c r="B31" s="138" t="s">
        <v>120</v>
      </c>
      <c r="C31" s="138" t="s">
        <v>125</v>
      </c>
      <c r="D31" s="137" t="s">
        <v>126</v>
      </c>
      <c r="E31" s="137" t="s">
        <v>117</v>
      </c>
      <c r="F31" s="138" t="s">
        <v>121</v>
      </c>
      <c r="G31" s="172">
        <f t="shared" ref="G31:G32" si="0">G15</f>
        <v>1.49</v>
      </c>
      <c r="H31" s="173" t="s">
        <v>122</v>
      </c>
      <c r="I31" s="172">
        <f>G31*H31</f>
        <v>1.49</v>
      </c>
    </row>
    <row r="32" spans="2:9" ht="42.6" customHeight="1">
      <c r="B32" s="138" t="s">
        <v>120</v>
      </c>
      <c r="C32" s="138" t="s">
        <v>127</v>
      </c>
      <c r="D32" s="137" t="s">
        <v>128</v>
      </c>
      <c r="E32" s="137" t="s">
        <v>117</v>
      </c>
      <c r="F32" s="138" t="s">
        <v>121</v>
      </c>
      <c r="G32" s="172">
        <f t="shared" si="0"/>
        <v>0.6</v>
      </c>
      <c r="H32" s="173" t="s">
        <v>122</v>
      </c>
      <c r="I32" s="172">
        <f>G32*H32</f>
        <v>0.6</v>
      </c>
    </row>
  </sheetData>
  <mergeCells count="31">
    <mergeCell ref="B2:I2"/>
    <mergeCell ref="B26:C26"/>
    <mergeCell ref="D26:I26"/>
    <mergeCell ref="B20:I20"/>
    <mergeCell ref="B21:C21"/>
    <mergeCell ref="D21:I21"/>
    <mergeCell ref="B22:C22"/>
    <mergeCell ref="D22:I22"/>
    <mergeCell ref="B11:C11"/>
    <mergeCell ref="D11:I11"/>
    <mergeCell ref="B8:C8"/>
    <mergeCell ref="D8:I8"/>
    <mergeCell ref="B9:C9"/>
    <mergeCell ref="D9:I9"/>
    <mergeCell ref="B10:C10"/>
    <mergeCell ref="D10:I10"/>
    <mergeCell ref="B7:C7"/>
    <mergeCell ref="D7:I7"/>
    <mergeCell ref="B27:C27"/>
    <mergeCell ref="D27:I27"/>
    <mergeCell ref="B23:C23"/>
    <mergeCell ref="D23:I23"/>
    <mergeCell ref="B24:C24"/>
    <mergeCell ref="D24:I24"/>
    <mergeCell ref="B25:C25"/>
    <mergeCell ref="D25:I25"/>
    <mergeCell ref="B4:I4"/>
    <mergeCell ref="B5:C5"/>
    <mergeCell ref="D5:I5"/>
    <mergeCell ref="B6:C6"/>
    <mergeCell ref="D6:I6"/>
  </mergeCells>
  <printOptions horizontalCentered="1"/>
  <pageMargins left="0.17708333333333301" right="0.134027777777778" top="0.374305555555556" bottom="0.32013888888888897" header="0.51180555555555496" footer="0.51180555555555496"/>
  <pageSetup paperSize="9" firstPageNumber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/>
  </sheetPr>
  <dimension ref="B1:IY36"/>
  <sheetViews>
    <sheetView showGridLines="0" zoomScaleNormal="100" workbookViewId="0">
      <selection activeCell="H8" sqref="H8"/>
    </sheetView>
  </sheetViews>
  <sheetFormatPr defaultRowHeight="14.25"/>
  <cols>
    <col min="1" max="1" width="5.625" customWidth="1"/>
    <col min="2" max="2" width="15.5" style="7" customWidth="1"/>
    <col min="3" max="3" width="16.25" style="8" customWidth="1"/>
    <col min="4" max="4" width="31.875" style="7" customWidth="1"/>
    <col min="5" max="5" width="36.875" style="7" bestFit="1" customWidth="1"/>
    <col min="6" max="6" width="15.25" style="8" customWidth="1"/>
    <col min="7" max="7" width="9" style="7" customWidth="1"/>
    <col min="8" max="8" width="9.125" style="7" customWidth="1"/>
    <col min="9" max="9" width="12" style="7" customWidth="1"/>
    <col min="10" max="11" width="11.25" style="7" customWidth="1"/>
    <col min="12" max="12" width="10.375" style="7" customWidth="1"/>
    <col min="13" max="13" width="10.5" style="7" customWidth="1"/>
    <col min="14" max="14" width="12.5" style="7" customWidth="1"/>
    <col min="15" max="259" width="10.5" style="7" customWidth="1"/>
    <col min="260" max="1024" width="10.375" customWidth="1"/>
  </cols>
  <sheetData>
    <row r="1" spans="2:14" ht="15" customHeight="1"/>
    <row r="2" spans="2:14" s="64" customFormat="1" ht="29.25" customHeight="1">
      <c r="B2" s="333" t="str">
        <f>"RELAÇÃO DE UNIDADES DO "&amp;'Valor da Contratação'!B7&amp;""</f>
        <v>RELAÇÃO DE UNIDADES DO POLO VIII</v>
      </c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5"/>
    </row>
    <row r="3" spans="2:14" s="7" customFormat="1" ht="15" customHeight="1"/>
    <row r="4" spans="2:14" ht="66.75" customHeight="1">
      <c r="B4" s="92" t="s">
        <v>138</v>
      </c>
      <c r="C4" s="92" t="s">
        <v>9</v>
      </c>
      <c r="D4" s="92" t="s">
        <v>34</v>
      </c>
      <c r="E4" s="92" t="s">
        <v>139</v>
      </c>
      <c r="F4" s="92" t="s">
        <v>140</v>
      </c>
      <c r="G4" s="92" t="s">
        <v>141</v>
      </c>
      <c r="H4" s="92" t="s">
        <v>64</v>
      </c>
      <c r="I4" s="92" t="s">
        <v>142</v>
      </c>
      <c r="J4" s="92" t="s">
        <v>143</v>
      </c>
      <c r="K4" s="92" t="s">
        <v>144</v>
      </c>
      <c r="L4" s="92" t="s">
        <v>145</v>
      </c>
      <c r="M4" s="92" t="s">
        <v>146</v>
      </c>
      <c r="N4" s="92" t="s">
        <v>147</v>
      </c>
    </row>
    <row r="5" spans="2:14" ht="18" customHeight="1">
      <c r="B5" s="11" t="s">
        <v>189</v>
      </c>
      <c r="C5" s="11" t="s">
        <v>189</v>
      </c>
      <c r="D5" s="75" t="s">
        <v>190</v>
      </c>
      <c r="E5" s="76" t="s">
        <v>191</v>
      </c>
      <c r="F5" s="70">
        <f>(46*2)/60</f>
        <v>1.5333333333333334</v>
      </c>
      <c r="G5" s="77">
        <v>0.03</v>
      </c>
      <c r="H5" s="77">
        <f>HLOOKUP(G5,BDI!$D$19:$J$30,12,)</f>
        <v>0.2354</v>
      </c>
      <c r="I5" s="72">
        <v>1960.04</v>
      </c>
      <c r="J5" s="72">
        <v>980.02</v>
      </c>
      <c r="K5" s="72">
        <v>980.02</v>
      </c>
      <c r="L5" s="72">
        <v>0</v>
      </c>
      <c r="M5" s="72" t="s">
        <v>148</v>
      </c>
      <c r="N5" s="72" t="s">
        <v>148</v>
      </c>
    </row>
    <row r="6" spans="2:14" ht="18" customHeight="1">
      <c r="B6" s="11" t="s">
        <v>189</v>
      </c>
      <c r="C6" s="11" t="s">
        <v>189</v>
      </c>
      <c r="D6" s="75" t="s">
        <v>192</v>
      </c>
      <c r="E6" s="76" t="s">
        <v>193</v>
      </c>
      <c r="F6" s="70">
        <f>(90*2)/60</f>
        <v>3</v>
      </c>
      <c r="G6" s="77">
        <v>0.03</v>
      </c>
      <c r="H6" s="77">
        <f>HLOOKUP(G6,BDI!$D$19:$J$30,12,)</f>
        <v>0.2354</v>
      </c>
      <c r="I6" s="72">
        <v>1354.16</v>
      </c>
      <c r="J6" s="72">
        <v>771.34</v>
      </c>
      <c r="K6" s="72">
        <v>241.24</v>
      </c>
      <c r="L6" s="72">
        <v>341.58</v>
      </c>
      <c r="M6" s="72" t="s">
        <v>148</v>
      </c>
      <c r="N6" s="72" t="s">
        <v>149</v>
      </c>
    </row>
    <row r="7" spans="2:14" ht="18" customHeight="1">
      <c r="B7" s="11" t="s">
        <v>189</v>
      </c>
      <c r="C7" s="11" t="s">
        <v>189</v>
      </c>
      <c r="D7" s="75" t="s">
        <v>194</v>
      </c>
      <c r="E7" s="78" t="s">
        <v>195</v>
      </c>
      <c r="F7" s="70">
        <f>(54*2)/60</f>
        <v>1.8</v>
      </c>
      <c r="G7" s="77">
        <v>0.05</v>
      </c>
      <c r="H7" s="77">
        <f>HLOOKUP(G7,BDI!$D$19:$J$30,12,)</f>
        <v>0.26240000000000002</v>
      </c>
      <c r="I7" s="72">
        <v>334.4</v>
      </c>
      <c r="J7" s="72">
        <v>296</v>
      </c>
      <c r="K7" s="72">
        <v>38.4</v>
      </c>
      <c r="L7" s="72">
        <v>0</v>
      </c>
      <c r="M7" s="72" t="s">
        <v>148</v>
      </c>
      <c r="N7" s="72" t="s">
        <v>148</v>
      </c>
    </row>
    <row r="8" spans="2:14" ht="18" customHeight="1">
      <c r="B8" s="11" t="s">
        <v>189</v>
      </c>
      <c r="C8" s="11" t="s">
        <v>189</v>
      </c>
      <c r="D8" s="75" t="s">
        <v>196</v>
      </c>
      <c r="E8" s="78" t="s">
        <v>197</v>
      </c>
      <c r="F8" s="70">
        <f>(26*2)/60</f>
        <v>0.8666666666666667</v>
      </c>
      <c r="G8" s="77">
        <v>0.02</v>
      </c>
      <c r="H8" s="77">
        <f>HLOOKUP(G8,BDI!$D$19:$J$30,12,)</f>
        <v>0.2223</v>
      </c>
      <c r="I8" s="72">
        <v>617.87</v>
      </c>
      <c r="J8" s="72">
        <v>420.59</v>
      </c>
      <c r="K8" s="72">
        <v>197.28</v>
      </c>
      <c r="L8" s="72">
        <v>0</v>
      </c>
      <c r="M8" s="72" t="s">
        <v>148</v>
      </c>
      <c r="N8" s="72" t="s">
        <v>148</v>
      </c>
    </row>
    <row r="9" spans="2:14" ht="18" customHeight="1">
      <c r="B9" s="11" t="s">
        <v>189</v>
      </c>
      <c r="C9" s="11" t="s">
        <v>189</v>
      </c>
      <c r="D9" s="75" t="s">
        <v>198</v>
      </c>
      <c r="E9" s="76" t="s">
        <v>199</v>
      </c>
      <c r="F9" s="70">
        <f>(22*2)/60</f>
        <v>0.73333333333333328</v>
      </c>
      <c r="G9" s="77">
        <v>0.02</v>
      </c>
      <c r="H9" s="77">
        <f>HLOOKUP(G9,BDI!$D$19:$J$30,12,)</f>
        <v>0.2223</v>
      </c>
      <c r="I9" s="72">
        <v>334.4</v>
      </c>
      <c r="J9" s="72">
        <v>296</v>
      </c>
      <c r="K9" s="72">
        <v>38.4</v>
      </c>
      <c r="L9" s="72">
        <v>0</v>
      </c>
      <c r="M9" s="72" t="s">
        <v>148</v>
      </c>
      <c r="N9" s="72" t="s">
        <v>148</v>
      </c>
    </row>
    <row r="10" spans="2:14" ht="18" customHeight="1">
      <c r="B10" s="11" t="s">
        <v>189</v>
      </c>
      <c r="C10" s="11" t="s">
        <v>189</v>
      </c>
      <c r="D10" s="75" t="s">
        <v>200</v>
      </c>
      <c r="E10" s="76" t="s">
        <v>201</v>
      </c>
      <c r="F10" s="70">
        <f>(45*2)/60</f>
        <v>1.5</v>
      </c>
      <c r="G10" s="77">
        <v>0.03</v>
      </c>
      <c r="H10" s="77">
        <f>HLOOKUP(G10,BDI!$D$19:$J$30,12,)</f>
        <v>0.2354</v>
      </c>
      <c r="I10" s="72">
        <v>840.61</v>
      </c>
      <c r="J10" s="72">
        <v>399.63</v>
      </c>
      <c r="K10" s="72">
        <v>166.29</v>
      </c>
      <c r="L10" s="72">
        <v>274.69</v>
      </c>
      <c r="M10" s="72" t="s">
        <v>148</v>
      </c>
      <c r="N10" s="72" t="s">
        <v>148</v>
      </c>
    </row>
    <row r="11" spans="2:14" ht="18" customHeight="1">
      <c r="B11" s="11" t="s">
        <v>189</v>
      </c>
      <c r="C11" s="11" t="s">
        <v>189</v>
      </c>
      <c r="D11" s="75" t="s">
        <v>202</v>
      </c>
      <c r="E11" s="76" t="s">
        <v>203</v>
      </c>
      <c r="F11" s="70">
        <f>(2*2)/60</f>
        <v>6.6666666666666666E-2</v>
      </c>
      <c r="G11" s="77">
        <v>0.04</v>
      </c>
      <c r="H11" s="77">
        <f>HLOOKUP(G11,BDI!$D$19:$J$30,12,)</f>
        <v>0.2487</v>
      </c>
      <c r="I11" s="72">
        <v>226.81</v>
      </c>
      <c r="J11" s="72">
        <v>0</v>
      </c>
      <c r="K11" s="72">
        <v>0</v>
      </c>
      <c r="L11" s="72">
        <v>226.81</v>
      </c>
      <c r="M11" s="72" t="s">
        <v>148</v>
      </c>
      <c r="N11" s="72" t="s">
        <v>148</v>
      </c>
    </row>
    <row r="12" spans="2:14" ht="18" customHeight="1">
      <c r="B12" s="11" t="s">
        <v>189</v>
      </c>
      <c r="C12" s="11" t="s">
        <v>189</v>
      </c>
      <c r="D12" s="75" t="s">
        <v>204</v>
      </c>
      <c r="E12" s="76" t="s">
        <v>205</v>
      </c>
      <c r="F12" s="70">
        <f>(6*2)/60</f>
        <v>0.2</v>
      </c>
      <c r="G12" s="77">
        <v>0.04</v>
      </c>
      <c r="H12" s="77">
        <f>HLOOKUP(G12,BDI!$D$19:$J$30,12,)</f>
        <v>0.2487</v>
      </c>
      <c r="I12" s="72">
        <v>792.76</v>
      </c>
      <c r="J12" s="72">
        <v>20.46</v>
      </c>
      <c r="K12" s="72">
        <v>772.3</v>
      </c>
      <c r="L12" s="72">
        <v>0</v>
      </c>
      <c r="M12" s="72" t="s">
        <v>148</v>
      </c>
      <c r="N12" s="72" t="s">
        <v>148</v>
      </c>
    </row>
    <row r="13" spans="2:14" ht="18" customHeight="1">
      <c r="B13" s="11" t="s">
        <v>189</v>
      </c>
      <c r="C13" s="11" t="s">
        <v>189</v>
      </c>
      <c r="D13" s="75" t="s">
        <v>206</v>
      </c>
      <c r="E13" s="76" t="s">
        <v>207</v>
      </c>
      <c r="F13" s="70">
        <v>0</v>
      </c>
      <c r="G13" s="77">
        <v>0.04</v>
      </c>
      <c r="H13" s="77">
        <f>HLOOKUP(G13,BDI!$D$19:$J$30,12,)</f>
        <v>0.2487</v>
      </c>
      <c r="I13" s="72">
        <v>2811.03</v>
      </c>
      <c r="J13" s="72">
        <v>2471.36</v>
      </c>
      <c r="K13" s="72">
        <v>339.67</v>
      </c>
      <c r="L13" s="72">
        <v>0</v>
      </c>
      <c r="M13" s="72" t="s">
        <v>149</v>
      </c>
      <c r="N13" s="72" t="s">
        <v>149</v>
      </c>
    </row>
    <row r="14" spans="2:14" ht="18" customHeight="1">
      <c r="B14" s="11" t="s">
        <v>208</v>
      </c>
      <c r="C14" s="11" t="s">
        <v>189</v>
      </c>
      <c r="D14" s="75" t="s">
        <v>209</v>
      </c>
      <c r="E14" s="76" t="s">
        <v>210</v>
      </c>
      <c r="F14" s="178">
        <f>(145*2)/60</f>
        <v>4.833333333333333</v>
      </c>
      <c r="G14" s="77">
        <v>0.02</v>
      </c>
      <c r="H14" s="77">
        <f>HLOOKUP(G14,BDI!$D$19:$J$30,12,)</f>
        <v>0.2223</v>
      </c>
      <c r="I14" s="72">
        <v>436.8</v>
      </c>
      <c r="J14" s="72">
        <v>342.01</v>
      </c>
      <c r="K14" s="72">
        <v>94.79</v>
      </c>
      <c r="L14" s="72">
        <v>0</v>
      </c>
      <c r="M14" s="72" t="s">
        <v>148</v>
      </c>
      <c r="N14" s="72" t="s">
        <v>148</v>
      </c>
    </row>
    <row r="15" spans="2:14" ht="18" customHeight="1">
      <c r="B15" s="11" t="s">
        <v>211</v>
      </c>
      <c r="C15" s="11" t="s">
        <v>211</v>
      </c>
      <c r="D15" s="75" t="s">
        <v>212</v>
      </c>
      <c r="E15" s="76" t="s">
        <v>213</v>
      </c>
      <c r="F15" s="70">
        <f>(3*2)/60</f>
        <v>0.1</v>
      </c>
      <c r="G15" s="77">
        <v>0.02</v>
      </c>
      <c r="H15" s="77">
        <f>HLOOKUP(G15,BDI!$D$19:$J$30,12,)</f>
        <v>0.2223</v>
      </c>
      <c r="I15" s="72">
        <v>3420.53</v>
      </c>
      <c r="J15" s="72">
        <v>0</v>
      </c>
      <c r="K15" s="72">
        <v>1660.46</v>
      </c>
      <c r="L15" s="72">
        <v>1760.07</v>
      </c>
      <c r="M15" s="72" t="s">
        <v>148</v>
      </c>
      <c r="N15" s="72" t="s">
        <v>149</v>
      </c>
    </row>
    <row r="16" spans="2:14" ht="18" customHeight="1">
      <c r="B16" s="11" t="s">
        <v>211</v>
      </c>
      <c r="C16" s="11" t="s">
        <v>211</v>
      </c>
      <c r="D16" s="75" t="s">
        <v>214</v>
      </c>
      <c r="E16" s="76" t="s">
        <v>215</v>
      </c>
      <c r="F16" s="70">
        <f>(14*2)/60</f>
        <v>0.46666666666666667</v>
      </c>
      <c r="G16" s="77">
        <v>0.02</v>
      </c>
      <c r="H16" s="77">
        <f>HLOOKUP(G16,BDI!$D$19:$J$30,12,)</f>
        <v>0.2223</v>
      </c>
      <c r="I16" s="72">
        <v>827.93</v>
      </c>
      <c r="J16" s="72">
        <v>237.41</v>
      </c>
      <c r="K16" s="72">
        <v>561.57000000000005</v>
      </c>
      <c r="L16" s="72">
        <v>28.95</v>
      </c>
      <c r="M16" s="72" t="s">
        <v>148</v>
      </c>
      <c r="N16" s="72" t="s">
        <v>149</v>
      </c>
    </row>
    <row r="17" spans="2:14" ht="18" customHeight="1">
      <c r="B17" s="11" t="s">
        <v>211</v>
      </c>
      <c r="C17" s="11" t="s">
        <v>211</v>
      </c>
      <c r="D17" s="75" t="s">
        <v>216</v>
      </c>
      <c r="E17" s="76" t="s">
        <v>217</v>
      </c>
      <c r="F17" s="70">
        <f>(21*2)/60</f>
        <v>0.7</v>
      </c>
      <c r="G17" s="77">
        <v>0.02</v>
      </c>
      <c r="H17" s="77">
        <f>HLOOKUP(G17,BDI!$D$19:$J$30,12,)</f>
        <v>0.2223</v>
      </c>
      <c r="I17" s="72">
        <v>914.18</v>
      </c>
      <c r="J17" s="72">
        <v>371.04</v>
      </c>
      <c r="K17" s="72">
        <v>112.85</v>
      </c>
      <c r="L17" s="72">
        <v>430.29</v>
      </c>
      <c r="M17" s="72" t="s">
        <v>148</v>
      </c>
      <c r="N17" s="72" t="s">
        <v>149</v>
      </c>
    </row>
    <row r="18" spans="2:14" ht="18" customHeight="1">
      <c r="B18" s="11" t="s">
        <v>211</v>
      </c>
      <c r="C18" s="11" t="s">
        <v>211</v>
      </c>
      <c r="D18" s="75" t="s">
        <v>218</v>
      </c>
      <c r="E18" s="76" t="s">
        <v>219</v>
      </c>
      <c r="F18" s="70">
        <f>(119*2)/60</f>
        <v>3.9666666666666668</v>
      </c>
      <c r="G18" s="77">
        <v>2.5000000000000001E-2</v>
      </c>
      <c r="H18" s="77">
        <f>HLOOKUP(G18,BDI!$D$19:$J$30,12,)</f>
        <v>0.2288</v>
      </c>
      <c r="I18" s="72">
        <v>1832.48</v>
      </c>
      <c r="J18" s="72">
        <v>657.24</v>
      </c>
      <c r="K18" s="72">
        <v>198.31</v>
      </c>
      <c r="L18" s="72">
        <v>976.93</v>
      </c>
      <c r="M18" s="72" t="s">
        <v>149</v>
      </c>
      <c r="N18" s="72" t="s">
        <v>149</v>
      </c>
    </row>
    <row r="19" spans="2:14" ht="18" customHeight="1">
      <c r="B19" s="11" t="s">
        <v>211</v>
      </c>
      <c r="C19" s="11" t="s">
        <v>211</v>
      </c>
      <c r="D19" s="75" t="s">
        <v>220</v>
      </c>
      <c r="E19" s="76" t="s">
        <v>221</v>
      </c>
      <c r="F19" s="70">
        <f>(90*2)/60</f>
        <v>3</v>
      </c>
      <c r="G19" s="77">
        <v>2.5000000000000001E-2</v>
      </c>
      <c r="H19" s="77">
        <f>HLOOKUP(G19,BDI!$D$19:$J$30,12,)</f>
        <v>0.2288</v>
      </c>
      <c r="I19" s="72">
        <v>1719.85</v>
      </c>
      <c r="J19" s="72">
        <v>883.35</v>
      </c>
      <c r="K19" s="72">
        <v>465.65</v>
      </c>
      <c r="L19" s="72">
        <v>370.85</v>
      </c>
      <c r="M19" s="72" t="s">
        <v>148</v>
      </c>
      <c r="N19" s="72" t="s">
        <v>149</v>
      </c>
    </row>
    <row r="20" spans="2:14" ht="18" customHeight="1">
      <c r="B20" s="11" t="s">
        <v>211</v>
      </c>
      <c r="C20" s="11" t="s">
        <v>211</v>
      </c>
      <c r="D20" s="75" t="s">
        <v>222</v>
      </c>
      <c r="E20" s="76" t="s">
        <v>223</v>
      </c>
      <c r="F20" s="70">
        <f>(46*2)/60</f>
        <v>1.5333333333333334</v>
      </c>
      <c r="G20" s="77">
        <v>0.03</v>
      </c>
      <c r="H20" s="77">
        <f>HLOOKUP(G20,BDI!$D$19:$J$30,12,)</f>
        <v>0.2354</v>
      </c>
      <c r="I20" s="72">
        <v>334.4</v>
      </c>
      <c r="J20" s="72">
        <v>296</v>
      </c>
      <c r="K20" s="72">
        <v>38.4</v>
      </c>
      <c r="L20" s="72">
        <v>0</v>
      </c>
      <c r="M20" s="72" t="s">
        <v>148</v>
      </c>
      <c r="N20" s="72" t="s">
        <v>148</v>
      </c>
    </row>
    <row r="21" spans="2:14" ht="18" customHeight="1">
      <c r="B21" s="11" t="s">
        <v>211</v>
      </c>
      <c r="C21" s="11" t="s">
        <v>211</v>
      </c>
      <c r="D21" s="75" t="s">
        <v>224</v>
      </c>
      <c r="E21" s="76" t="s">
        <v>225</v>
      </c>
      <c r="F21" s="70">
        <f>(96*2)/60</f>
        <v>3.2</v>
      </c>
      <c r="G21" s="77">
        <v>2.5000000000000001E-2</v>
      </c>
      <c r="H21" s="77">
        <f>HLOOKUP(G21,BDI!$D$19:$J$30,12,)</f>
        <v>0.2288</v>
      </c>
      <c r="I21" s="72">
        <v>1331.03</v>
      </c>
      <c r="J21" s="72">
        <v>1145.5999999999999</v>
      </c>
      <c r="K21" s="72">
        <v>185.43</v>
      </c>
      <c r="L21" s="72">
        <v>0</v>
      </c>
      <c r="M21" s="72" t="s">
        <v>149</v>
      </c>
      <c r="N21" s="72" t="s">
        <v>148</v>
      </c>
    </row>
    <row r="22" spans="2:14" ht="18" customHeight="1">
      <c r="B22" s="11" t="s">
        <v>211</v>
      </c>
      <c r="C22" s="11" t="s">
        <v>211</v>
      </c>
      <c r="D22" s="75" t="s">
        <v>226</v>
      </c>
      <c r="E22" s="76" t="s">
        <v>227</v>
      </c>
      <c r="F22" s="70">
        <f>(43*2)/60</f>
        <v>1.4333333333333333</v>
      </c>
      <c r="G22" s="77">
        <v>0.03</v>
      </c>
      <c r="H22" s="77">
        <f>HLOOKUP(G22,BDI!$D$19:$J$30,12,)</f>
        <v>0.2354</v>
      </c>
      <c r="I22" s="72">
        <v>2263.27</v>
      </c>
      <c r="J22" s="72">
        <v>729.05</v>
      </c>
      <c r="K22" s="72">
        <v>578.15</v>
      </c>
      <c r="L22" s="72">
        <v>956.07</v>
      </c>
      <c r="M22" s="72" t="s">
        <v>148</v>
      </c>
      <c r="N22" s="72" t="s">
        <v>149</v>
      </c>
    </row>
    <row r="23" spans="2:14" ht="18" customHeight="1">
      <c r="B23" s="11" t="s">
        <v>211</v>
      </c>
      <c r="C23" s="11" t="s">
        <v>211</v>
      </c>
      <c r="D23" s="75" t="s">
        <v>228</v>
      </c>
      <c r="E23" s="76" t="s">
        <v>229</v>
      </c>
      <c r="F23" s="70">
        <f>(6*2)/60</f>
        <v>0.2</v>
      </c>
      <c r="G23" s="77">
        <v>0.02</v>
      </c>
      <c r="H23" s="77">
        <f>HLOOKUP(G23,BDI!$D$19:$J$30,12,)</f>
        <v>0.2223</v>
      </c>
      <c r="I23" s="72">
        <v>726.75</v>
      </c>
      <c r="J23" s="72">
        <v>644.1</v>
      </c>
      <c r="K23" s="72">
        <v>82.65</v>
      </c>
      <c r="L23" s="72">
        <v>0</v>
      </c>
      <c r="M23" s="72" t="s">
        <v>148</v>
      </c>
      <c r="N23" s="72" t="s">
        <v>148</v>
      </c>
    </row>
    <row r="24" spans="2:14" ht="18" customHeight="1">
      <c r="B24" s="11" t="s">
        <v>211</v>
      </c>
      <c r="C24" s="11" t="s">
        <v>211</v>
      </c>
      <c r="D24" s="75" t="s">
        <v>230</v>
      </c>
      <c r="E24" s="76" t="s">
        <v>231</v>
      </c>
      <c r="F24" s="70">
        <f>(18*2)/60</f>
        <v>0.6</v>
      </c>
      <c r="G24" s="77">
        <v>2.5000000000000001E-2</v>
      </c>
      <c r="H24" s="77">
        <f>HLOOKUP(G24,BDI!$D$19:$J$30,12,)</f>
        <v>0.2288</v>
      </c>
      <c r="I24" s="72">
        <v>334.4</v>
      </c>
      <c r="J24" s="72">
        <v>296</v>
      </c>
      <c r="K24" s="72">
        <v>38.4</v>
      </c>
      <c r="L24" s="72">
        <v>0</v>
      </c>
      <c r="M24" s="72" t="s">
        <v>148</v>
      </c>
      <c r="N24" s="72" t="s">
        <v>148</v>
      </c>
    </row>
    <row r="25" spans="2:14" ht="18" customHeight="1">
      <c r="B25" s="11" t="s">
        <v>211</v>
      </c>
      <c r="C25" s="11" t="s">
        <v>211</v>
      </c>
      <c r="D25" s="75" t="s">
        <v>232</v>
      </c>
      <c r="E25" s="76" t="s">
        <v>233</v>
      </c>
      <c r="F25" s="70">
        <f>(16*2)/60</f>
        <v>0.53333333333333333</v>
      </c>
      <c r="G25" s="77">
        <v>0.03</v>
      </c>
      <c r="H25" s="77">
        <f>HLOOKUP(G25,BDI!$D$19:$J$30,12,)</f>
        <v>0.2354</v>
      </c>
      <c r="I25" s="72">
        <v>2884.09</v>
      </c>
      <c r="J25" s="72">
        <v>1410.05</v>
      </c>
      <c r="K25" s="72">
        <v>705.74</v>
      </c>
      <c r="L25" s="72">
        <v>768.3</v>
      </c>
      <c r="M25" s="72" t="s">
        <v>148</v>
      </c>
      <c r="N25" s="72" t="s">
        <v>149</v>
      </c>
    </row>
    <row r="26" spans="2:14" ht="18" customHeight="1">
      <c r="B26" s="11" t="s">
        <v>211</v>
      </c>
      <c r="C26" s="11" t="s">
        <v>211</v>
      </c>
      <c r="D26" s="75" t="s">
        <v>234</v>
      </c>
      <c r="E26" s="76" t="s">
        <v>235</v>
      </c>
      <c r="F26" s="70">
        <f>(36*2)/60</f>
        <v>1.2</v>
      </c>
      <c r="G26" s="77">
        <v>0.03</v>
      </c>
      <c r="H26" s="77">
        <f>HLOOKUP(G26,BDI!$D$19:$J$30,12,)</f>
        <v>0.2354</v>
      </c>
      <c r="I26" s="72">
        <v>1082.18</v>
      </c>
      <c r="J26" s="72">
        <v>728.2</v>
      </c>
      <c r="K26" s="72">
        <v>222</v>
      </c>
      <c r="L26" s="72">
        <v>131.97999999999999</v>
      </c>
      <c r="M26" s="72" t="s">
        <v>148</v>
      </c>
      <c r="N26" s="72" t="s">
        <v>149</v>
      </c>
    </row>
    <row r="27" spans="2:14" ht="18" customHeight="1">
      <c r="B27" s="11" t="s">
        <v>211</v>
      </c>
      <c r="C27" s="11" t="s">
        <v>211</v>
      </c>
      <c r="D27" s="75" t="s">
        <v>236</v>
      </c>
      <c r="E27" s="78" t="s">
        <v>237</v>
      </c>
      <c r="F27" s="70">
        <f>(19*2)/60</f>
        <v>0.6333333333333333</v>
      </c>
      <c r="G27" s="77">
        <v>0.02</v>
      </c>
      <c r="H27" s="77">
        <f>HLOOKUP(G27,BDI!$D$19:$J$30,12,)</f>
        <v>0.2223</v>
      </c>
      <c r="I27" s="72">
        <v>1988.85</v>
      </c>
      <c r="J27" s="72">
        <v>501.54</v>
      </c>
      <c r="K27" s="72">
        <v>706.74</v>
      </c>
      <c r="L27" s="72">
        <v>780.57</v>
      </c>
      <c r="M27" s="72" t="s">
        <v>148</v>
      </c>
      <c r="N27" s="72" t="s">
        <v>149</v>
      </c>
    </row>
    <row r="28" spans="2:14" ht="18" customHeight="1">
      <c r="B28" s="11" t="s">
        <v>211</v>
      </c>
      <c r="C28" s="11" t="s">
        <v>211</v>
      </c>
      <c r="D28" s="75" t="s">
        <v>238</v>
      </c>
      <c r="E28" s="76" t="s">
        <v>239</v>
      </c>
      <c r="F28" s="70">
        <f>(36*2)/60</f>
        <v>1.2</v>
      </c>
      <c r="G28" s="77">
        <v>0.03</v>
      </c>
      <c r="H28" s="77">
        <f>HLOOKUP(G28,BDI!$D$19:$J$30,12,)</f>
        <v>0.2354</v>
      </c>
      <c r="I28" s="72">
        <v>1953.81</v>
      </c>
      <c r="J28" s="72">
        <v>838.95</v>
      </c>
      <c r="K28" s="72">
        <v>565.28</v>
      </c>
      <c r="L28" s="72">
        <v>549.58000000000004</v>
      </c>
      <c r="M28" s="72" t="s">
        <v>148</v>
      </c>
      <c r="N28" s="72" t="s">
        <v>149</v>
      </c>
    </row>
    <row r="29" spans="2:14" ht="18" customHeight="1">
      <c r="B29" s="11" t="s">
        <v>211</v>
      </c>
      <c r="C29" s="11" t="s">
        <v>211</v>
      </c>
      <c r="D29" s="75" t="s">
        <v>240</v>
      </c>
      <c r="E29" s="76" t="s">
        <v>241</v>
      </c>
      <c r="F29" s="70">
        <f>(82*2)/60</f>
        <v>2.7333333333333334</v>
      </c>
      <c r="G29" s="77">
        <v>0.02</v>
      </c>
      <c r="H29" s="77">
        <f>HLOOKUP(G29,BDI!$D$19:$J$30,12,)</f>
        <v>0.2223</v>
      </c>
      <c r="I29" s="72">
        <v>914.18</v>
      </c>
      <c r="J29" s="72">
        <v>423.72</v>
      </c>
      <c r="K29" s="72">
        <v>63.03</v>
      </c>
      <c r="L29" s="72">
        <v>427.43</v>
      </c>
      <c r="M29" s="72" t="s">
        <v>148</v>
      </c>
      <c r="N29" s="72" t="s">
        <v>149</v>
      </c>
    </row>
    <row r="30" spans="2:14" ht="18" customHeight="1">
      <c r="B30" s="11" t="s">
        <v>211</v>
      </c>
      <c r="C30" s="11" t="s">
        <v>211</v>
      </c>
      <c r="D30" s="75" t="s">
        <v>242</v>
      </c>
      <c r="E30" s="78" t="s">
        <v>243</v>
      </c>
      <c r="F30" s="70">
        <f>(90*2)/60</f>
        <v>3</v>
      </c>
      <c r="G30" s="77">
        <v>0.03</v>
      </c>
      <c r="H30" s="77">
        <f>HLOOKUP(G30,BDI!$D$19:$J$30,12,)</f>
        <v>0.2354</v>
      </c>
      <c r="I30" s="72">
        <v>334.4</v>
      </c>
      <c r="J30" s="72">
        <v>296</v>
      </c>
      <c r="K30" s="72">
        <v>38.4</v>
      </c>
      <c r="L30" s="72">
        <v>0</v>
      </c>
      <c r="M30" s="72" t="s">
        <v>148</v>
      </c>
      <c r="N30" s="72" t="s">
        <v>148</v>
      </c>
    </row>
    <row r="31" spans="2:14" ht="18" customHeight="1">
      <c r="B31" s="11" t="s">
        <v>211</v>
      </c>
      <c r="C31" s="11" t="s">
        <v>211</v>
      </c>
      <c r="D31" s="75" t="s">
        <v>244</v>
      </c>
      <c r="E31" s="76" t="s">
        <v>245</v>
      </c>
      <c r="F31" s="70">
        <f>(57*2)/60</f>
        <v>1.9</v>
      </c>
      <c r="G31" s="77">
        <v>0.02</v>
      </c>
      <c r="H31" s="77">
        <f>HLOOKUP(G31,BDI!$D$19:$J$30,12,)</f>
        <v>0.2223</v>
      </c>
      <c r="I31" s="72">
        <v>334.4</v>
      </c>
      <c r="J31" s="72">
        <v>296</v>
      </c>
      <c r="K31" s="72">
        <v>38.4</v>
      </c>
      <c r="L31" s="72">
        <v>0</v>
      </c>
      <c r="M31" s="72" t="s">
        <v>148</v>
      </c>
      <c r="N31" s="72" t="s">
        <v>148</v>
      </c>
    </row>
    <row r="32" spans="2:14" ht="18" customHeight="1">
      <c r="B32" s="11" t="s">
        <v>211</v>
      </c>
      <c r="C32" s="11" t="s">
        <v>211</v>
      </c>
      <c r="D32" s="75" t="s">
        <v>246</v>
      </c>
      <c r="E32" s="76" t="s">
        <v>247</v>
      </c>
      <c r="F32" s="178">
        <v>0</v>
      </c>
      <c r="G32" s="77">
        <v>0.02</v>
      </c>
      <c r="H32" s="77">
        <f>HLOOKUP(G32,BDI!$D$19:$J$30,12,)</f>
        <v>0.2223</v>
      </c>
      <c r="I32" s="72">
        <v>2966.29</v>
      </c>
      <c r="J32" s="72">
        <v>585.4</v>
      </c>
      <c r="K32" s="72">
        <v>2380.89</v>
      </c>
      <c r="L32" s="72">
        <v>0</v>
      </c>
      <c r="M32" s="72" t="s">
        <v>149</v>
      </c>
      <c r="N32" s="72" t="s">
        <v>148</v>
      </c>
    </row>
    <row r="33" spans="2:14" ht="18" customHeight="1">
      <c r="B33" s="11" t="s">
        <v>208</v>
      </c>
      <c r="C33" s="11" t="s">
        <v>211</v>
      </c>
      <c r="D33" s="75" t="s">
        <v>248</v>
      </c>
      <c r="E33" s="76" t="s">
        <v>249</v>
      </c>
      <c r="F33" s="178">
        <f>(95*2)/60</f>
        <v>3.1666666666666665</v>
      </c>
      <c r="G33" s="77">
        <v>0.03</v>
      </c>
      <c r="H33" s="77">
        <f>HLOOKUP(G33,BDI!$D$19:$J$30,12,)</f>
        <v>0.2354</v>
      </c>
      <c r="I33" s="72">
        <v>1097.56</v>
      </c>
      <c r="J33" s="72">
        <v>460.43</v>
      </c>
      <c r="K33" s="72">
        <v>428.32</v>
      </c>
      <c r="L33" s="72">
        <v>208.81</v>
      </c>
      <c r="M33" s="72" t="s">
        <v>148</v>
      </c>
      <c r="N33" s="72" t="s">
        <v>149</v>
      </c>
    </row>
    <row r="34" spans="2:14" ht="18" customHeight="1">
      <c r="B34" s="11" t="s">
        <v>208</v>
      </c>
      <c r="C34" s="11" t="s">
        <v>211</v>
      </c>
      <c r="D34" s="75" t="s">
        <v>250</v>
      </c>
      <c r="E34" s="76" t="s">
        <v>251</v>
      </c>
      <c r="F34" s="178">
        <f t="shared" ref="F34" si="0">(88*2)/60</f>
        <v>2.9333333333333331</v>
      </c>
      <c r="G34" s="77">
        <v>0.02</v>
      </c>
      <c r="H34" s="77">
        <f>HLOOKUP(G34,BDI!$D$19:$J$30,12,)</f>
        <v>0.2223</v>
      </c>
      <c r="I34" s="72">
        <v>2644.69</v>
      </c>
      <c r="J34" s="72">
        <v>837.46</v>
      </c>
      <c r="K34" s="72">
        <v>775.81</v>
      </c>
      <c r="L34" s="72">
        <v>1031.42</v>
      </c>
      <c r="M34" s="72" t="s">
        <v>149</v>
      </c>
      <c r="N34" s="72" t="s">
        <v>149</v>
      </c>
    </row>
    <row r="35" spans="2:14" ht="18" customHeight="1">
      <c r="B35" s="11" t="s">
        <v>208</v>
      </c>
      <c r="C35" s="11" t="s">
        <v>211</v>
      </c>
      <c r="D35" s="75" t="s">
        <v>252</v>
      </c>
      <c r="E35" s="76" t="s">
        <v>253</v>
      </c>
      <c r="F35" s="178">
        <f>(74*2)/60</f>
        <v>2.4666666666666668</v>
      </c>
      <c r="G35" s="77">
        <v>0.04</v>
      </c>
      <c r="H35" s="77">
        <f>HLOOKUP(G35,BDI!$D$19:$J$30,12,)</f>
        <v>0.2487</v>
      </c>
      <c r="I35" s="72">
        <v>357.46</v>
      </c>
      <c r="J35" s="72">
        <v>307.45999999999998</v>
      </c>
      <c r="K35" s="72">
        <v>50</v>
      </c>
      <c r="L35" s="72">
        <v>0</v>
      </c>
      <c r="M35" s="72" t="s">
        <v>148</v>
      </c>
      <c r="N35" s="72" t="s">
        <v>148</v>
      </c>
    </row>
    <row r="36" spans="2:14" ht="18" customHeight="1">
      <c r="B36" s="11" t="s">
        <v>208</v>
      </c>
      <c r="C36" s="11" t="s">
        <v>211</v>
      </c>
      <c r="D36" s="75" t="s">
        <v>254</v>
      </c>
      <c r="E36" s="76" t="s">
        <v>255</v>
      </c>
      <c r="F36" s="178">
        <f>(89*2)/60</f>
        <v>2.9666666666666668</v>
      </c>
      <c r="G36" s="77">
        <v>0.03</v>
      </c>
      <c r="H36" s="77">
        <f>HLOOKUP(G36,BDI!$D$19:$J$30,12,)</f>
        <v>0.2354</v>
      </c>
      <c r="I36" s="72">
        <v>1460.23</v>
      </c>
      <c r="J36" s="72">
        <v>628.98</v>
      </c>
      <c r="K36" s="72">
        <v>552.14</v>
      </c>
      <c r="L36" s="72">
        <v>279.11</v>
      </c>
      <c r="M36" s="72" t="s">
        <v>148</v>
      </c>
      <c r="N36" s="72" t="s">
        <v>149</v>
      </c>
    </row>
  </sheetData>
  <mergeCells count="1">
    <mergeCell ref="B2:N2"/>
  </mergeCells>
  <printOptions horizontalCentered="1"/>
  <pageMargins left="0.25486111111111098" right="0.240972222222222" top="0.49583333333333302" bottom="0.33333333333333298" header="0.51180555555555496" footer="0.51180555555555496"/>
  <pageSetup paperSize="9" firstPageNumber="0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FFFF"/>
  </sheetPr>
  <dimension ref="B1:J65541"/>
  <sheetViews>
    <sheetView showGridLines="0" zoomScale="110" zoomScaleNormal="110" workbookViewId="0">
      <selection activeCell="L31" sqref="L31"/>
    </sheetView>
  </sheetViews>
  <sheetFormatPr defaultRowHeight="14.25"/>
  <cols>
    <col min="1" max="1" width="5.625" customWidth="1"/>
    <col min="2" max="2" width="15.625" style="65" customWidth="1"/>
    <col min="3" max="3" width="35.875" style="65" customWidth="1"/>
    <col min="4" max="4" width="11" style="26" customWidth="1"/>
    <col min="5" max="1023" width="10.375" customWidth="1"/>
  </cols>
  <sheetData>
    <row r="1" spans="2:10" ht="15" customHeight="1"/>
    <row r="2" spans="2:10" ht="20.100000000000001" customHeight="1">
      <c r="B2" s="336" t="s">
        <v>150</v>
      </c>
      <c r="C2" s="337"/>
      <c r="D2" s="337"/>
      <c r="E2" s="337"/>
      <c r="F2" s="337"/>
      <c r="G2" s="337"/>
      <c r="H2" s="337"/>
      <c r="I2" s="337"/>
      <c r="J2" s="338"/>
    </row>
    <row r="3" spans="2:10" ht="20.100000000000001" customHeight="1">
      <c r="B3" s="339" t="str">
        <f>'Valor da Contratação'!B8</f>
        <v>NÃO DESONERADA</v>
      </c>
      <c r="C3" s="340"/>
      <c r="D3" s="340"/>
      <c r="E3" s="340"/>
      <c r="F3" s="340"/>
      <c r="G3" s="340"/>
      <c r="H3" s="340"/>
      <c r="I3" s="340"/>
      <c r="J3" s="341"/>
    </row>
    <row r="4" spans="2:10" ht="15" customHeight="1">
      <c r="B4" s="66"/>
      <c r="C4" s="66"/>
      <c r="D4" s="9"/>
    </row>
    <row r="5" spans="2:10" ht="15" customHeight="1">
      <c r="B5" s="358" t="s">
        <v>151</v>
      </c>
      <c r="C5" s="359"/>
      <c r="D5" s="359"/>
      <c r="E5" s="359"/>
      <c r="F5" s="359"/>
      <c r="G5" s="359"/>
      <c r="H5" s="359"/>
      <c r="I5" s="359"/>
      <c r="J5" s="360"/>
    </row>
    <row r="6" spans="2:10" ht="15" customHeight="1">
      <c r="B6" s="95"/>
      <c r="C6" s="5"/>
      <c r="D6" s="74"/>
      <c r="E6" s="74"/>
      <c r="J6" s="96"/>
    </row>
    <row r="7" spans="2:10" ht="15" customHeight="1">
      <c r="B7" s="342" t="s">
        <v>152</v>
      </c>
      <c r="C7" s="343"/>
      <c r="D7" s="343"/>
      <c r="E7" s="343"/>
      <c r="F7" s="343"/>
      <c r="G7" s="343"/>
      <c r="H7" s="343"/>
      <c r="I7" s="343"/>
      <c r="J7" s="344"/>
    </row>
    <row r="8" spans="2:10" ht="15" customHeight="1">
      <c r="B8" s="97"/>
      <c r="C8" s="175"/>
      <c r="D8" s="74"/>
      <c r="E8" s="74"/>
      <c r="J8" s="96"/>
    </row>
    <row r="9" spans="2:10" ht="15" customHeight="1">
      <c r="B9" s="361" t="s">
        <v>153</v>
      </c>
      <c r="C9" s="362"/>
      <c r="D9" s="362"/>
      <c r="E9" s="362"/>
      <c r="F9" s="362"/>
      <c r="G9" s="362"/>
      <c r="H9" s="362"/>
      <c r="I9" s="362"/>
      <c r="J9" s="363"/>
    </row>
    <row r="10" spans="2:10" ht="15" customHeight="1">
      <c r="B10" s="364" t="s">
        <v>154</v>
      </c>
      <c r="C10" s="365"/>
      <c r="D10" s="365"/>
      <c r="E10" s="365"/>
      <c r="F10" s="365"/>
      <c r="G10" s="365"/>
      <c r="H10" s="365"/>
      <c r="I10" s="365"/>
      <c r="J10" s="366"/>
    </row>
    <row r="11" spans="2:10" ht="15" customHeight="1">
      <c r="B11" s="364" t="s">
        <v>155</v>
      </c>
      <c r="C11" s="365"/>
      <c r="D11" s="365"/>
      <c r="E11" s="365"/>
      <c r="F11" s="365"/>
      <c r="G11" s="365"/>
      <c r="H11" s="365"/>
      <c r="I11" s="365"/>
      <c r="J11" s="366"/>
    </row>
    <row r="12" spans="2:10" ht="15" customHeight="1">
      <c r="B12" s="364" t="s">
        <v>156</v>
      </c>
      <c r="C12" s="365"/>
      <c r="D12" s="365"/>
      <c r="E12" s="365"/>
      <c r="F12" s="365"/>
      <c r="G12" s="365"/>
      <c r="H12" s="365"/>
      <c r="I12" s="365"/>
      <c r="J12" s="366"/>
    </row>
    <row r="13" spans="2:10" ht="15" customHeight="1">
      <c r="B13" s="364" t="s">
        <v>157</v>
      </c>
      <c r="C13" s="365"/>
      <c r="D13" s="365"/>
      <c r="E13" s="365"/>
      <c r="F13" s="365"/>
      <c r="G13" s="365"/>
      <c r="H13" s="365"/>
      <c r="I13" s="365"/>
      <c r="J13" s="366"/>
    </row>
    <row r="14" spans="2:10" ht="15" customHeight="1">
      <c r="B14" s="364" t="s">
        <v>158</v>
      </c>
      <c r="C14" s="365"/>
      <c r="D14" s="365"/>
      <c r="E14" s="365"/>
      <c r="F14" s="365"/>
      <c r="G14" s="365"/>
      <c r="H14" s="365"/>
      <c r="I14" s="365"/>
      <c r="J14" s="366"/>
    </row>
    <row r="15" spans="2:10" ht="15" customHeight="1">
      <c r="B15" s="364" t="s">
        <v>159</v>
      </c>
      <c r="C15" s="365"/>
      <c r="D15" s="365"/>
      <c r="E15" s="365"/>
      <c r="F15" s="365"/>
      <c r="G15" s="365"/>
      <c r="H15" s="365"/>
      <c r="I15" s="365"/>
      <c r="J15" s="366"/>
    </row>
    <row r="16" spans="2:10" ht="15" customHeight="1">
      <c r="B16" s="367" t="s">
        <v>160</v>
      </c>
      <c r="C16" s="368"/>
      <c r="D16" s="368"/>
      <c r="E16" s="368"/>
      <c r="F16" s="368"/>
      <c r="G16" s="368"/>
      <c r="H16" s="368"/>
      <c r="I16" s="368"/>
      <c r="J16" s="369"/>
    </row>
    <row r="17" spans="2:10" ht="24.95" customHeight="1">
      <c r="D17" s="9"/>
    </row>
    <row r="18" spans="2:10" ht="17.100000000000001" customHeight="1">
      <c r="B18" s="345" t="s">
        <v>161</v>
      </c>
      <c r="C18" s="346"/>
      <c r="D18" s="160" t="s">
        <v>141</v>
      </c>
      <c r="E18" s="160" t="s">
        <v>141</v>
      </c>
      <c r="F18" s="160" t="s">
        <v>141</v>
      </c>
      <c r="G18" s="159" t="s">
        <v>141</v>
      </c>
      <c r="H18" s="161" t="s">
        <v>141</v>
      </c>
      <c r="I18" s="161" t="s">
        <v>141</v>
      </c>
      <c r="J18" s="161" t="s">
        <v>141</v>
      </c>
    </row>
    <row r="19" spans="2:10" ht="17.100000000000001" customHeight="1">
      <c r="B19" s="347"/>
      <c r="C19" s="348"/>
      <c r="D19" s="162">
        <v>0.05</v>
      </c>
      <c r="E19" s="162">
        <v>0.04</v>
      </c>
      <c r="F19" s="162">
        <v>3.5000000000000003E-2</v>
      </c>
      <c r="G19" s="163">
        <v>0.03</v>
      </c>
      <c r="H19" s="164">
        <v>2.5000000000000001E-2</v>
      </c>
      <c r="I19" s="164">
        <v>0.02</v>
      </c>
      <c r="J19" s="164">
        <v>1.4999999999999999E-2</v>
      </c>
    </row>
    <row r="20" spans="2:10" ht="17.100000000000001" customHeight="1">
      <c r="B20" s="91" t="s">
        <v>175</v>
      </c>
      <c r="C20" s="176" t="s">
        <v>176</v>
      </c>
      <c r="D20" s="158">
        <v>0.04</v>
      </c>
      <c r="E20" s="158">
        <v>0.04</v>
      </c>
      <c r="F20" s="158">
        <v>0.04</v>
      </c>
      <c r="G20" s="158">
        <v>0.04</v>
      </c>
      <c r="H20" s="158">
        <v>0.04</v>
      </c>
      <c r="I20" s="158">
        <v>0.04</v>
      </c>
      <c r="J20" s="158">
        <v>0.04</v>
      </c>
    </row>
    <row r="21" spans="2:10" ht="17.100000000000001" customHeight="1">
      <c r="B21" s="91" t="s">
        <v>177</v>
      </c>
      <c r="C21" s="11" t="s">
        <v>178</v>
      </c>
      <c r="D21" s="79">
        <v>1.23E-2</v>
      </c>
      <c r="E21" s="79">
        <v>1.23E-2</v>
      </c>
      <c r="F21" s="79">
        <v>1.23E-2</v>
      </c>
      <c r="G21" s="79">
        <v>1.23E-2</v>
      </c>
      <c r="H21" s="79">
        <v>1.23E-2</v>
      </c>
      <c r="I21" s="79">
        <v>1.23E-2</v>
      </c>
      <c r="J21" s="79">
        <v>1.23E-2</v>
      </c>
    </row>
    <row r="22" spans="2:10" ht="17.100000000000001" customHeight="1">
      <c r="B22" s="91" t="s">
        <v>179</v>
      </c>
      <c r="C22" s="11" t="s">
        <v>180</v>
      </c>
      <c r="D22" s="79">
        <v>8.0000000000000002E-3</v>
      </c>
      <c r="E22" s="79">
        <v>8.0000000000000002E-3</v>
      </c>
      <c r="F22" s="79">
        <v>8.0000000000000002E-3</v>
      </c>
      <c r="G22" s="79">
        <v>8.0000000000000002E-3</v>
      </c>
      <c r="H22" s="79">
        <v>8.0000000000000002E-3</v>
      </c>
      <c r="I22" s="79">
        <v>8.0000000000000002E-3</v>
      </c>
      <c r="J22" s="79">
        <v>8.0000000000000002E-3</v>
      </c>
    </row>
    <row r="23" spans="2:10" ht="17.100000000000001" customHeight="1">
      <c r="B23" s="91" t="s">
        <v>181</v>
      </c>
      <c r="C23" s="11" t="s">
        <v>182</v>
      </c>
      <c r="D23" s="79">
        <v>1.2699999999999999E-2</v>
      </c>
      <c r="E23" s="79">
        <v>1.2699999999999999E-2</v>
      </c>
      <c r="F23" s="79">
        <v>1.2699999999999999E-2</v>
      </c>
      <c r="G23" s="79">
        <v>1.2699999999999999E-2</v>
      </c>
      <c r="H23" s="79">
        <v>1.2699999999999999E-2</v>
      </c>
      <c r="I23" s="79">
        <v>1.2699999999999999E-2</v>
      </c>
      <c r="J23" s="79">
        <v>1.2699999999999999E-2</v>
      </c>
    </row>
    <row r="24" spans="2:10" ht="17.100000000000001" customHeight="1">
      <c r="B24" s="91" t="s">
        <v>183</v>
      </c>
      <c r="C24" s="11" t="s">
        <v>184</v>
      </c>
      <c r="D24" s="79">
        <v>7.3999999999999996E-2</v>
      </c>
      <c r="E24" s="79">
        <v>7.3999999999999996E-2</v>
      </c>
      <c r="F24" s="79">
        <v>7.3999999999999996E-2</v>
      </c>
      <c r="G24" s="79">
        <v>7.3999999999999996E-2</v>
      </c>
      <c r="H24" s="79">
        <v>7.3999999999999996E-2</v>
      </c>
      <c r="I24" s="79">
        <v>7.3999999999999996E-2</v>
      </c>
      <c r="J24" s="79">
        <v>7.3999999999999996E-2</v>
      </c>
    </row>
    <row r="25" spans="2:10" ht="17.100000000000001" customHeight="1">
      <c r="B25" s="349" t="s">
        <v>185</v>
      </c>
      <c r="C25" s="11" t="s">
        <v>186</v>
      </c>
      <c r="D25" s="79">
        <v>6.4999999999999997E-3</v>
      </c>
      <c r="E25" s="79">
        <v>6.4999999999999997E-3</v>
      </c>
      <c r="F25" s="79">
        <v>6.4999999999999997E-3</v>
      </c>
      <c r="G25" s="79">
        <v>6.4999999999999997E-3</v>
      </c>
      <c r="H25" s="79">
        <v>6.4999999999999997E-3</v>
      </c>
      <c r="I25" s="79">
        <v>6.4999999999999997E-3</v>
      </c>
      <c r="J25" s="79">
        <v>6.4999999999999997E-3</v>
      </c>
    </row>
    <row r="26" spans="2:10" ht="17.100000000000001" customHeight="1">
      <c r="B26" s="349"/>
      <c r="C26" s="91" t="s">
        <v>187</v>
      </c>
      <c r="D26" s="80">
        <v>0.03</v>
      </c>
      <c r="E26" s="80">
        <v>0.03</v>
      </c>
      <c r="F26" s="80">
        <v>0.03</v>
      </c>
      <c r="G26" s="80">
        <v>0.03</v>
      </c>
      <c r="H26" s="80">
        <v>0.03</v>
      </c>
      <c r="I26" s="80">
        <v>0.03</v>
      </c>
      <c r="J26" s="80">
        <v>0.03</v>
      </c>
    </row>
    <row r="27" spans="2:10" ht="17.100000000000001" customHeight="1">
      <c r="B27" s="349"/>
      <c r="C27" s="91" t="s">
        <v>141</v>
      </c>
      <c r="D27" s="80">
        <v>0.05</v>
      </c>
      <c r="E27" s="80">
        <v>0.04</v>
      </c>
      <c r="F27" s="79">
        <v>3.5000000000000003E-2</v>
      </c>
      <c r="G27" s="80">
        <v>0.03</v>
      </c>
      <c r="H27" s="80">
        <v>2.5000000000000001E-2</v>
      </c>
      <c r="I27" s="80">
        <v>0.02</v>
      </c>
      <c r="J27" s="79">
        <v>1.4999999999999999E-2</v>
      </c>
    </row>
    <row r="28" spans="2:10" ht="17.100000000000001" customHeight="1">
      <c r="B28" s="349"/>
      <c r="C28" s="91" t="s">
        <v>188</v>
      </c>
      <c r="D28" s="80">
        <v>0</v>
      </c>
      <c r="E28" s="80">
        <v>0</v>
      </c>
      <c r="F28" s="79">
        <v>0</v>
      </c>
      <c r="G28" s="80">
        <v>0</v>
      </c>
      <c r="H28" s="80">
        <v>0</v>
      </c>
      <c r="I28" s="80">
        <v>0</v>
      </c>
      <c r="J28" s="79">
        <v>0</v>
      </c>
    </row>
    <row r="29" spans="2:10" ht="20.100000000000001" customHeight="1">
      <c r="B29" s="350" t="s">
        <v>162</v>
      </c>
      <c r="C29" s="351"/>
      <c r="D29" s="177">
        <f>(((1+D22+D20+D23)*(1+D21)*(1+D24))/(1-(D25+D26+D27+D28))-1)</f>
        <v>0.26240159730706081</v>
      </c>
      <c r="E29" s="177">
        <f t="shared" ref="E29:J29" si="0">(((1+E22+E20+E23)*(1+E21)*(1+E24))/(1-(E25+E26+E27+E28))-1)</f>
        <v>0.24873184530590153</v>
      </c>
      <c r="F29" s="177">
        <f t="shared" si="0"/>
        <v>0.24200738733441041</v>
      </c>
      <c r="G29" s="177">
        <f t="shared" si="0"/>
        <v>0.23535496426352442</v>
      </c>
      <c r="H29" s="177">
        <f t="shared" si="0"/>
        <v>0.22877342476291962</v>
      </c>
      <c r="I29" s="177">
        <f t="shared" si="0"/>
        <v>0.22226164190779008</v>
      </c>
      <c r="J29" s="177">
        <f t="shared" si="0"/>
        <v>0.21581851253558249</v>
      </c>
    </row>
    <row r="30" spans="2:10" ht="20.100000000000001" customHeight="1">
      <c r="B30" s="352" t="s">
        <v>163</v>
      </c>
      <c r="C30" s="353"/>
      <c r="D30" s="90">
        <f t="shared" ref="D30:J30" si="1">ROUND(D29,4)</f>
        <v>0.26240000000000002</v>
      </c>
      <c r="E30" s="90">
        <f t="shared" si="1"/>
        <v>0.2487</v>
      </c>
      <c r="F30" s="90">
        <f t="shared" si="1"/>
        <v>0.24199999999999999</v>
      </c>
      <c r="G30" s="90">
        <f t="shared" si="1"/>
        <v>0.2354</v>
      </c>
      <c r="H30" s="90">
        <f t="shared" si="1"/>
        <v>0.2288</v>
      </c>
      <c r="I30" s="90">
        <f t="shared" si="1"/>
        <v>0.2223</v>
      </c>
      <c r="J30" s="90">
        <f t="shared" si="1"/>
        <v>0.21579999999999999</v>
      </c>
    </row>
    <row r="31" spans="2:10" ht="24.95" customHeight="1">
      <c r="B31" s="58"/>
      <c r="C31" s="58"/>
      <c r="D31" s="38"/>
      <c r="E31" s="38"/>
      <c r="F31" s="38"/>
      <c r="G31" s="38"/>
      <c r="H31" s="38"/>
      <c r="I31" s="38"/>
      <c r="J31" s="38"/>
    </row>
    <row r="32" spans="2:10" ht="17.100000000000001" customHeight="1">
      <c r="B32" s="345" t="s">
        <v>164</v>
      </c>
      <c r="C32" s="346"/>
      <c r="D32" s="160" t="s">
        <v>141</v>
      </c>
      <c r="E32" s="160" t="s">
        <v>141</v>
      </c>
      <c r="F32" s="160" t="s">
        <v>141</v>
      </c>
      <c r="G32" s="159" t="s">
        <v>141</v>
      </c>
      <c r="H32" s="161" t="s">
        <v>141</v>
      </c>
      <c r="I32" s="161" t="s">
        <v>141</v>
      </c>
      <c r="J32" s="161" t="s">
        <v>141</v>
      </c>
    </row>
    <row r="33" spans="2:10" ht="17.100000000000001" customHeight="1">
      <c r="B33" s="347"/>
      <c r="C33" s="348"/>
      <c r="D33" s="162">
        <v>0.05</v>
      </c>
      <c r="E33" s="162">
        <v>0.04</v>
      </c>
      <c r="F33" s="162">
        <v>3.5000000000000003E-2</v>
      </c>
      <c r="G33" s="163">
        <v>0.03</v>
      </c>
      <c r="H33" s="164">
        <v>2.5000000000000001E-2</v>
      </c>
      <c r="I33" s="164">
        <v>0.02</v>
      </c>
      <c r="J33" s="164">
        <v>1.4999999999999999E-2</v>
      </c>
    </row>
    <row r="34" spans="2:10" ht="17.100000000000001" customHeight="1">
      <c r="B34" s="91" t="s">
        <v>175</v>
      </c>
      <c r="C34" s="176" t="s">
        <v>176</v>
      </c>
      <c r="D34" s="79">
        <v>3.4500000000000003E-2</v>
      </c>
      <c r="E34" s="79">
        <v>3.4500000000000003E-2</v>
      </c>
      <c r="F34" s="79">
        <v>3.4500000000000003E-2</v>
      </c>
      <c r="G34" s="79">
        <v>3.4500000000000003E-2</v>
      </c>
      <c r="H34" s="79">
        <v>3.4500000000000003E-2</v>
      </c>
      <c r="I34" s="79">
        <v>3.4500000000000003E-2</v>
      </c>
      <c r="J34" s="79">
        <v>3.4500000000000003E-2</v>
      </c>
    </row>
    <row r="35" spans="2:10" ht="17.100000000000001" customHeight="1">
      <c r="B35" s="91" t="s">
        <v>177</v>
      </c>
      <c r="C35" s="11" t="s">
        <v>178</v>
      </c>
      <c r="D35" s="79">
        <v>8.5000000000000006E-3</v>
      </c>
      <c r="E35" s="79">
        <v>8.5000000000000006E-3</v>
      </c>
      <c r="F35" s="79">
        <v>8.5000000000000006E-3</v>
      </c>
      <c r="G35" s="79">
        <v>8.5000000000000006E-3</v>
      </c>
      <c r="H35" s="79">
        <v>8.5000000000000006E-3</v>
      </c>
      <c r="I35" s="79">
        <v>8.5000000000000006E-3</v>
      </c>
      <c r="J35" s="79">
        <v>8.5000000000000006E-3</v>
      </c>
    </row>
    <row r="36" spans="2:10" ht="17.100000000000001" customHeight="1">
      <c r="B36" s="91" t="s">
        <v>179</v>
      </c>
      <c r="C36" s="11" t="s">
        <v>180</v>
      </c>
      <c r="D36" s="79">
        <v>4.7999999999999996E-3</v>
      </c>
      <c r="E36" s="79">
        <v>4.7999999999999996E-3</v>
      </c>
      <c r="F36" s="79">
        <v>4.7999999999999996E-3</v>
      </c>
      <c r="G36" s="79">
        <v>4.7999999999999996E-3</v>
      </c>
      <c r="H36" s="79">
        <v>4.7999999999999996E-3</v>
      </c>
      <c r="I36" s="79">
        <v>4.7999999999999996E-3</v>
      </c>
      <c r="J36" s="79">
        <v>4.7999999999999996E-3</v>
      </c>
    </row>
    <row r="37" spans="2:10" ht="17.100000000000001" customHeight="1">
      <c r="B37" s="91" t="s">
        <v>181</v>
      </c>
      <c r="C37" s="11" t="s">
        <v>182</v>
      </c>
      <c r="D37" s="79">
        <v>8.5000000000000006E-3</v>
      </c>
      <c r="E37" s="79">
        <v>8.5000000000000006E-3</v>
      </c>
      <c r="F37" s="79">
        <v>8.5000000000000006E-3</v>
      </c>
      <c r="G37" s="79">
        <v>8.5000000000000006E-3</v>
      </c>
      <c r="H37" s="79">
        <v>8.5000000000000006E-3</v>
      </c>
      <c r="I37" s="79">
        <v>8.5000000000000006E-3</v>
      </c>
      <c r="J37" s="79">
        <v>8.5000000000000006E-3</v>
      </c>
    </row>
    <row r="38" spans="2:10" ht="17.100000000000001" customHeight="1">
      <c r="B38" s="91" t="s">
        <v>183</v>
      </c>
      <c r="C38" s="11" t="s">
        <v>184</v>
      </c>
      <c r="D38" s="79">
        <v>5.11E-2</v>
      </c>
      <c r="E38" s="79">
        <v>5.11E-2</v>
      </c>
      <c r="F38" s="79">
        <v>5.11E-2</v>
      </c>
      <c r="G38" s="79">
        <v>5.11E-2</v>
      </c>
      <c r="H38" s="79">
        <v>5.11E-2</v>
      </c>
      <c r="I38" s="79">
        <v>5.11E-2</v>
      </c>
      <c r="J38" s="79">
        <v>5.11E-2</v>
      </c>
    </row>
    <row r="39" spans="2:10" ht="17.100000000000001" customHeight="1">
      <c r="B39" s="349" t="s">
        <v>185</v>
      </c>
      <c r="C39" s="11" t="s">
        <v>186</v>
      </c>
      <c r="D39" s="79">
        <v>6.4999999999999997E-3</v>
      </c>
      <c r="E39" s="79">
        <v>6.4999999999999997E-3</v>
      </c>
      <c r="F39" s="79">
        <v>6.4999999999999997E-3</v>
      </c>
      <c r="G39" s="79">
        <v>6.4999999999999997E-3</v>
      </c>
      <c r="H39" s="79">
        <v>6.4999999999999997E-3</v>
      </c>
      <c r="I39" s="79">
        <v>6.4999999999999997E-3</v>
      </c>
      <c r="J39" s="79">
        <v>6.4999999999999997E-3</v>
      </c>
    </row>
    <row r="40" spans="2:10" ht="17.100000000000001" customHeight="1">
      <c r="B40" s="349"/>
      <c r="C40" s="91" t="s">
        <v>187</v>
      </c>
      <c r="D40" s="80">
        <v>0.03</v>
      </c>
      <c r="E40" s="80">
        <v>0.03</v>
      </c>
      <c r="F40" s="80">
        <v>0.03</v>
      </c>
      <c r="G40" s="80">
        <v>0.03</v>
      </c>
      <c r="H40" s="80">
        <v>0.03</v>
      </c>
      <c r="I40" s="80">
        <v>0.03</v>
      </c>
      <c r="J40" s="80">
        <v>0.03</v>
      </c>
    </row>
    <row r="41" spans="2:10" ht="17.100000000000001" customHeight="1">
      <c r="B41" s="349"/>
      <c r="C41" s="91" t="s">
        <v>141</v>
      </c>
      <c r="D41" s="80">
        <v>0</v>
      </c>
      <c r="E41" s="80">
        <v>0</v>
      </c>
      <c r="F41" s="79">
        <v>0</v>
      </c>
      <c r="G41" s="80">
        <v>0</v>
      </c>
      <c r="H41" s="80">
        <v>0</v>
      </c>
      <c r="I41" s="80">
        <v>0</v>
      </c>
      <c r="J41" s="79">
        <v>0</v>
      </c>
    </row>
    <row r="42" spans="2:10" ht="17.100000000000001" customHeight="1">
      <c r="B42" s="349"/>
      <c r="C42" s="91" t="s">
        <v>188</v>
      </c>
      <c r="D42" s="80">
        <v>0</v>
      </c>
      <c r="E42" s="80">
        <v>0</v>
      </c>
      <c r="F42" s="79">
        <v>0</v>
      </c>
      <c r="G42" s="80">
        <v>0</v>
      </c>
      <c r="H42" s="80">
        <v>0</v>
      </c>
      <c r="I42" s="80">
        <v>0</v>
      </c>
      <c r="J42" s="79">
        <v>0</v>
      </c>
    </row>
    <row r="43" spans="2:10" ht="17.100000000000001" customHeight="1">
      <c r="B43" s="354" t="s">
        <v>162</v>
      </c>
      <c r="C43" s="355"/>
      <c r="D43" s="177">
        <f>(((1+D36+D34+D37)*(1+D35)*(1+D38))/(1-(D39+D40+D41+D42))-1)</f>
        <v>0.15278047942916406</v>
      </c>
      <c r="E43" s="177">
        <f t="shared" ref="E43:J43" si="2">(((1+E36+E34+E37)*(1+E35)*(1+E38))/(1-(E39+E40+E41+E42))-1)</f>
        <v>0.15278047942916406</v>
      </c>
      <c r="F43" s="177">
        <f t="shared" si="2"/>
        <v>0.15278047942916406</v>
      </c>
      <c r="G43" s="177">
        <f t="shared" si="2"/>
        <v>0.15278047942916406</v>
      </c>
      <c r="H43" s="177">
        <f t="shared" si="2"/>
        <v>0.15278047942916406</v>
      </c>
      <c r="I43" s="177">
        <f t="shared" si="2"/>
        <v>0.15278047942916406</v>
      </c>
      <c r="J43" s="177">
        <f t="shared" si="2"/>
        <v>0.15278047942916406</v>
      </c>
    </row>
    <row r="44" spans="2:10" ht="20.100000000000001" customHeight="1">
      <c r="B44" s="356" t="s">
        <v>163</v>
      </c>
      <c r="C44" s="357"/>
      <c r="D44" s="90">
        <f t="shared" ref="D44:J44" si="3">ROUND(D43,4)</f>
        <v>0.15279999999999999</v>
      </c>
      <c r="E44" s="90">
        <f t="shared" si="3"/>
        <v>0.15279999999999999</v>
      </c>
      <c r="F44" s="90">
        <f t="shared" si="3"/>
        <v>0.15279999999999999</v>
      </c>
      <c r="G44" s="90">
        <f t="shared" si="3"/>
        <v>0.15279999999999999</v>
      </c>
      <c r="H44" s="90">
        <f t="shared" si="3"/>
        <v>0.15279999999999999</v>
      </c>
      <c r="I44" s="90">
        <f t="shared" si="3"/>
        <v>0.15279999999999999</v>
      </c>
      <c r="J44" s="90">
        <f t="shared" si="3"/>
        <v>0.15279999999999999</v>
      </c>
    </row>
    <row r="65540" ht="12.75" customHeight="1"/>
    <row r="65541" ht="12.75" customHeight="1"/>
  </sheetData>
  <mergeCells count="20">
    <mergeCell ref="B43:C43"/>
    <mergeCell ref="B44:C44"/>
    <mergeCell ref="B5:J5"/>
    <mergeCell ref="B39:B42"/>
    <mergeCell ref="B9:J9"/>
    <mergeCell ref="B10:J10"/>
    <mergeCell ref="B11:J11"/>
    <mergeCell ref="B12:J12"/>
    <mergeCell ref="B13:J13"/>
    <mergeCell ref="B14:J14"/>
    <mergeCell ref="B15:J15"/>
    <mergeCell ref="B16:J16"/>
    <mergeCell ref="B2:J2"/>
    <mergeCell ref="B3:J3"/>
    <mergeCell ref="B7:J7"/>
    <mergeCell ref="B18:C19"/>
    <mergeCell ref="B32:C33"/>
    <mergeCell ref="B25:B28"/>
    <mergeCell ref="B29:C29"/>
    <mergeCell ref="B30:C30"/>
  </mergeCells>
  <printOptions horizontalCentered="1"/>
  <pageMargins left="0.25486111111111098" right="0.240972222222222" top="0.49583333333333302" bottom="0.33333333333333298" header="0.51180555555555496" footer="0.51180555555555496"/>
  <pageSetup paperSize="9" firstPageNumber="0" orientation="portrait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FA710-3F24-47D1-AE65-63870B30DC8C}">
  <sheetPr>
    <tabColor rgb="FFFFFFFF"/>
  </sheetPr>
  <dimension ref="B2:IO37"/>
  <sheetViews>
    <sheetView showGridLines="0" zoomScale="110" zoomScaleNormal="110" workbookViewId="0">
      <selection activeCell="N14" sqref="N14"/>
    </sheetView>
  </sheetViews>
  <sheetFormatPr defaultRowHeight="14.25"/>
  <cols>
    <col min="2" max="2" width="32.375" customWidth="1"/>
    <col min="3" max="3" width="9.125" style="7" customWidth="1"/>
    <col min="4" max="4" width="12.25" style="7" customWidth="1"/>
    <col min="5" max="5" width="13.625" style="7" customWidth="1"/>
    <col min="6" max="6" width="7" style="7" customWidth="1"/>
    <col min="7" max="7" width="11.875" style="7" bestFit="1" customWidth="1"/>
    <col min="8" max="8" width="13.25" style="7" customWidth="1"/>
    <col min="9" max="9" width="12.75" style="7" customWidth="1"/>
    <col min="10" max="11" width="13" style="7" bestFit="1" customWidth="1"/>
    <col min="12" max="13" width="9.25" style="7" customWidth="1"/>
    <col min="14" max="248" width="10.625" style="7" customWidth="1"/>
    <col min="249" max="1018" width="10.5" customWidth="1"/>
  </cols>
  <sheetData>
    <row r="2" spans="2:249" ht="24.95" customHeight="1">
      <c r="B2" s="370" t="str">
        <f>"DIVISÃO DOS CUSTOS POR ALÍQUOTA DE ISSQN - "&amp;'Valor da Contratação'!B7&amp;""</f>
        <v>DIVISÃO DOS CUSTOS POR ALÍQUOTA DE ISSQN - POLO VIII</v>
      </c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</row>
    <row r="3" spans="2:249" ht="17.100000000000001" customHeight="1"/>
    <row r="4" spans="2:249" ht="45.75" customHeight="1">
      <c r="B4" s="141" t="s">
        <v>34</v>
      </c>
      <c r="C4" s="142" t="s">
        <v>165</v>
      </c>
      <c r="D4" s="142" t="s">
        <v>166</v>
      </c>
      <c r="E4" s="142" t="s">
        <v>167</v>
      </c>
      <c r="F4" s="89"/>
      <c r="G4" s="142" t="s">
        <v>168</v>
      </c>
      <c r="H4" s="142" t="s">
        <v>169</v>
      </c>
      <c r="I4" s="142" t="s">
        <v>170</v>
      </c>
      <c r="J4" s="142" t="s">
        <v>171</v>
      </c>
      <c r="K4" s="142" t="s">
        <v>172</v>
      </c>
      <c r="L4" s="142" t="s">
        <v>173</v>
      </c>
      <c r="M4" s="142" t="s">
        <v>174</v>
      </c>
    </row>
    <row r="5" spans="2:249" ht="15" customHeight="1">
      <c r="B5" s="118" t="str">
        <f>'Base Caxias do Sul'!B7</f>
        <v>GEX/APS CAXIAS DO SUL</v>
      </c>
      <c r="C5" s="139">
        <f>VLOOKUP(B5,Unidades!$D$5:$G$36,4,)</f>
        <v>0.04</v>
      </c>
      <c r="D5" s="140">
        <f>'Base Caxias do Sul'!AD7*12+'Base Caxias do Sul'!AE7*4+'Base Caxias do Sul'!AF7*2+'Base Caxias do Sul'!AG7</f>
        <v>13940.120285365752</v>
      </c>
      <c r="E5" s="140">
        <f>'Base Caxias do Sul'!AK7*12+'Base Caxias do Sul'!AL7*4+'Base Caxias do Sul'!AM7*2+'Base Caxias do Sul'!AN7</f>
        <v>17407.028200336215</v>
      </c>
      <c r="G5" s="143">
        <v>0.02</v>
      </c>
      <c r="H5" s="145">
        <f>SUMIF(C$5:C$36,G5,D$5:D$36)</f>
        <v>104312.55338084686</v>
      </c>
      <c r="I5" s="145">
        <f>SUMIF(C$5:C$36,G5,E$5:E$36)</f>
        <v>127501.2339974091</v>
      </c>
      <c r="J5" s="145">
        <f t="shared" ref="J5:K11" si="0">H5*4</f>
        <v>417250.21352338744</v>
      </c>
      <c r="K5" s="145">
        <f t="shared" si="0"/>
        <v>510004.9359896364</v>
      </c>
      <c r="L5" s="144">
        <f>H5/H$13</f>
        <v>0.3588460382873716</v>
      </c>
      <c r="M5" s="144">
        <f t="shared" ref="L5:M11" si="1">I5/I$13</f>
        <v>0.35603223451834332</v>
      </c>
    </row>
    <row r="6" spans="2:249" ht="15" customHeight="1">
      <c r="B6" s="118" t="str">
        <f>'Base Caxias do Sul'!B8</f>
        <v>CEDOCPREV CAXIAS DO SUL</v>
      </c>
      <c r="C6" s="139">
        <f>VLOOKUP(B6,Unidades!$D$5:$G$36,4,)</f>
        <v>0.04</v>
      </c>
      <c r="D6" s="140">
        <f>'Base Caxias do Sul'!AD8*12+'Base Caxias do Sul'!AE8*4+'Base Caxias do Sul'!AF8*2+'Base Caxias do Sul'!AG8</f>
        <v>6069.9708601770144</v>
      </c>
      <c r="E6" s="140">
        <f>'Base Caxias do Sul'!AK8*12+'Base Caxias do Sul'!AL8*4+'Base Caxias do Sul'!AM8*2+'Base Caxias do Sul'!AN8</f>
        <v>7579.5726131030369</v>
      </c>
      <c r="G6" s="143">
        <v>2.5000000000000001E-2</v>
      </c>
      <c r="H6" s="145">
        <f t="shared" ref="H6:H11" si="2">SUMIF(C$5:C$36,G6,D$5:D$36)</f>
        <v>41166.820597575192</v>
      </c>
      <c r="I6" s="145">
        <f t="shared" ref="I6:I11" si="3">SUMIF(C$5:C$36,G6,E$5:E$36)</f>
        <v>50585.789150300399</v>
      </c>
      <c r="J6" s="145">
        <f t="shared" si="0"/>
        <v>164667.28239030077</v>
      </c>
      <c r="K6" s="145">
        <f t="shared" si="0"/>
        <v>202343.1566012016</v>
      </c>
      <c r="L6" s="144">
        <f t="shared" si="1"/>
        <v>0.14161814663276431</v>
      </c>
      <c r="M6" s="144">
        <f t="shared" si="1"/>
        <v>0.14125488029724637</v>
      </c>
    </row>
    <row r="7" spans="2:249" ht="15" customHeight="1">
      <c r="B7" s="118" t="str">
        <f>'Base Caxias do Sul'!B9</f>
        <v>ARQUIVO RUA MARQUÊS DO HERVAL</v>
      </c>
      <c r="C7" s="139">
        <f>VLOOKUP(B7,Unidades!$D$5:$G$36,4,)</f>
        <v>0.04</v>
      </c>
      <c r="D7" s="140">
        <f>'Base Caxias do Sul'!AD9*12+'Base Caxias do Sul'!AE9*4+'Base Caxias do Sul'!AF9*2+'Base Caxias do Sul'!AG9</f>
        <v>6275.9476935103476</v>
      </c>
      <c r="E7" s="140">
        <f>'Base Caxias do Sul'!AK9*12+'Base Caxias do Sul'!AL9*4+'Base Caxias do Sul'!AM9*2+'Base Caxias do Sul'!AN9</f>
        <v>7836.7758848863714</v>
      </c>
      <c r="G7" s="143">
        <v>0.03</v>
      </c>
      <c r="H7" s="145">
        <f t="shared" si="2"/>
        <v>104392.88087883746</v>
      </c>
      <c r="I7" s="145">
        <f t="shared" si="3"/>
        <v>128966.96503771581</v>
      </c>
      <c r="J7" s="145">
        <f t="shared" si="0"/>
        <v>417571.52351534984</v>
      </c>
      <c r="K7" s="145">
        <f t="shared" si="0"/>
        <v>515867.86015086324</v>
      </c>
      <c r="L7" s="144">
        <f t="shared" si="1"/>
        <v>0.35912237323925622</v>
      </c>
      <c r="M7" s="144">
        <f t="shared" si="1"/>
        <v>0.36012511645463813</v>
      </c>
    </row>
    <row r="8" spans="2:249" ht="15" customHeight="1">
      <c r="B8" s="118" t="str">
        <f>'Base Caxias do Sul'!B10</f>
        <v>APS FLORES DA CUNHA</v>
      </c>
      <c r="C8" s="139">
        <f>VLOOKUP(B8,Unidades!$D$5:$G$36,4,)</f>
        <v>0.02</v>
      </c>
      <c r="D8" s="140">
        <f>'Base Caxias do Sul'!AD10*12+'Base Caxias do Sul'!AE10*4+'Base Caxias do Sul'!AF10*2+'Base Caxias do Sul'!AG10</f>
        <v>6275.9476935103476</v>
      </c>
      <c r="E8" s="140">
        <f>'Base Caxias do Sul'!AK10*12+'Base Caxias do Sul'!AL10*4+'Base Caxias do Sul'!AM10*2+'Base Caxias do Sul'!AN10</f>
        <v>7671.0908657776981</v>
      </c>
      <c r="G8" s="143">
        <v>3.5000000000000003E-2</v>
      </c>
      <c r="H8" s="145">
        <f t="shared" si="2"/>
        <v>0</v>
      </c>
      <c r="I8" s="145">
        <f t="shared" si="3"/>
        <v>0</v>
      </c>
      <c r="J8" s="145">
        <f t="shared" si="0"/>
        <v>0</v>
      </c>
      <c r="K8" s="145">
        <f t="shared" si="0"/>
        <v>0</v>
      </c>
      <c r="L8" s="144">
        <f t="shared" si="1"/>
        <v>0</v>
      </c>
      <c r="M8" s="144">
        <f t="shared" si="1"/>
        <v>0</v>
      </c>
    </row>
    <row r="9" spans="2:249" s="17" customFormat="1" ht="15" customHeight="1">
      <c r="B9" s="118" t="str">
        <f>'Base Caxias do Sul'!B11</f>
        <v>APS CARLOS BARBOSA</v>
      </c>
      <c r="C9" s="139">
        <f>VLOOKUP(B9,Unidades!$D$5:$G$36,4,)</f>
        <v>0.05</v>
      </c>
      <c r="D9" s="140">
        <f>'Base Caxias do Sul'!AD11*12+'Base Caxias do Sul'!AE11*4+'Base Caxias do Sul'!AF11*2+'Base Caxias do Sul'!AG11</f>
        <v>6963.3596935103469</v>
      </c>
      <c r="E9" s="140">
        <f>'Base Caxias do Sul'!AK11*12+'Base Caxias do Sul'!AL11*4+'Base Caxias do Sul'!AM11*2+'Base Caxias do Sul'!AN11</f>
        <v>8790.5452770874635</v>
      </c>
      <c r="G9" s="143">
        <v>0.04</v>
      </c>
      <c r="H9" s="145">
        <f t="shared" si="2"/>
        <v>33853.266615896799</v>
      </c>
      <c r="I9" s="145">
        <f t="shared" si="3"/>
        <v>42272.574023270332</v>
      </c>
      <c r="J9" s="145">
        <f t="shared" si="0"/>
        <v>135413.06646358719</v>
      </c>
      <c r="K9" s="145">
        <f t="shared" si="0"/>
        <v>169090.29609308133</v>
      </c>
      <c r="L9" s="144">
        <f t="shared" si="1"/>
        <v>0.11645875989486852</v>
      </c>
      <c r="M9" s="144">
        <f t="shared" si="1"/>
        <v>0.11804120255536385</v>
      </c>
      <c r="IO9" s="18"/>
    </row>
    <row r="10" spans="2:249" s="17" customFormat="1" ht="15" customHeight="1">
      <c r="B10" s="118" t="str">
        <f>'Base Caxias do Sul'!B12</f>
        <v>APS GARIBALDI</v>
      </c>
      <c r="C10" s="139">
        <f>VLOOKUP(B10,Unidades!$D$5:$G$36,4,)</f>
        <v>0.03</v>
      </c>
      <c r="D10" s="140">
        <f>'Base Caxias do Sul'!AD12*12+'Base Caxias do Sul'!AE12*4+'Base Caxias do Sul'!AF12*2+'Base Caxias do Sul'!AG12</f>
        <v>6963.3596935103469</v>
      </c>
      <c r="E10" s="140">
        <f>'Base Caxias do Sul'!AK12*12+'Base Caxias do Sul'!AL12*4+'Base Caxias do Sul'!AM12*2+'Base Caxias do Sul'!AN12</f>
        <v>8602.5345653626846</v>
      </c>
      <c r="G10" s="143">
        <v>4.4999999999999998E-2</v>
      </c>
      <c r="H10" s="145">
        <f t="shared" si="2"/>
        <v>0</v>
      </c>
      <c r="I10" s="145">
        <f t="shared" si="3"/>
        <v>0</v>
      </c>
      <c r="J10" s="145">
        <f t="shared" si="0"/>
        <v>0</v>
      </c>
      <c r="K10" s="145">
        <f t="shared" si="0"/>
        <v>0</v>
      </c>
      <c r="L10" s="144">
        <f t="shared" si="1"/>
        <v>0</v>
      </c>
      <c r="M10" s="144">
        <f t="shared" si="1"/>
        <v>0</v>
      </c>
      <c r="IO10" s="18"/>
    </row>
    <row r="11" spans="2:249" ht="15" customHeight="1">
      <c r="B11" s="118" t="str">
        <f>'Base Caxias do Sul'!B13</f>
        <v>APS BENTO GONÇALVES</v>
      </c>
      <c r="C11" s="139">
        <f>VLOOKUP(B11,Unidades!$D$5:$G$36,4,)</f>
        <v>0.03</v>
      </c>
      <c r="D11" s="140">
        <f>'Base Caxias do Sul'!AD13*12+'Base Caxias do Sul'!AE13*4+'Base Caxias do Sul'!AF13*2+'Base Caxias do Sul'!AG13</f>
        <v>8829.574591347131</v>
      </c>
      <c r="E11" s="140">
        <f>'Base Caxias do Sul'!AK13*12+'Base Caxias do Sul'!AL13*4+'Base Caxias do Sul'!AM13*2+'Base Caxias do Sul'!AN13</f>
        <v>10908.056450150245</v>
      </c>
      <c r="G11" s="143">
        <v>0.05</v>
      </c>
      <c r="H11" s="145">
        <f t="shared" si="2"/>
        <v>6963.3596935103469</v>
      </c>
      <c r="I11" s="145">
        <f t="shared" si="3"/>
        <v>8790.5452770874635</v>
      </c>
      <c r="J11" s="145">
        <f t="shared" si="0"/>
        <v>27853.438774041388</v>
      </c>
      <c r="K11" s="145">
        <f t="shared" si="0"/>
        <v>35162.181108349854</v>
      </c>
      <c r="L11" s="144">
        <f t="shared" si="1"/>
        <v>2.395468194573944E-2</v>
      </c>
      <c r="M11" s="144">
        <f t="shared" si="1"/>
        <v>2.4546566174408296E-2</v>
      </c>
    </row>
    <row r="12" spans="2:249" ht="15" customHeight="1">
      <c r="B12" s="118" t="str">
        <f>'Base Caxias do Sul'!B14</f>
        <v>APS FARROUPILHA</v>
      </c>
      <c r="C12" s="139">
        <f>VLOOKUP(B12,Unidades!$D$5:$G$36,4,)</f>
        <v>0.02</v>
      </c>
      <c r="D12" s="140">
        <f>'Base Caxias do Sul'!AD14*12+'Base Caxias do Sul'!AE14*4+'Base Caxias do Sul'!AF14*2+'Base Caxias do Sul'!AG14</f>
        <v>6882.4876935103466</v>
      </c>
      <c r="E12" s="140">
        <f>'Base Caxias do Sul'!AK14*12+'Base Caxias do Sul'!AL14*4+'Base Caxias do Sul'!AM14*2+'Base Caxias do Sul'!AN14</f>
        <v>8412.4647077776972</v>
      </c>
      <c r="G12" s="8"/>
    </row>
    <row r="13" spans="2:249" s="7" customFormat="1" ht="15" customHeight="1">
      <c r="B13" s="118" t="str">
        <f>'Base Caxias do Sul'!B15</f>
        <v>APS CANELA</v>
      </c>
      <c r="C13" s="139">
        <f>VLOOKUP(B13,Unidades!$D$5:$G$36,4,)</f>
        <v>0.03</v>
      </c>
      <c r="D13" s="140">
        <f>'Base Caxias do Sul'!AD15*12+'Base Caxias do Sul'!AE15*4+'Base Caxias do Sul'!AF15*2+'Base Caxias do Sul'!AG15</f>
        <v>12708.903550685152</v>
      </c>
      <c r="E13" s="140">
        <f>'Base Caxias do Sul'!AK15*12+'Base Caxias do Sul'!AL15*4+'Base Caxias do Sul'!AM15*2+'Base Caxias do Sul'!AN15</f>
        <v>15700.57944651644</v>
      </c>
      <c r="G13" s="142" t="s">
        <v>80</v>
      </c>
      <c r="H13" s="148">
        <f t="shared" ref="H13:M13" si="4">SUM(H5:H11)</f>
        <v>290688.88116666663</v>
      </c>
      <c r="I13" s="148">
        <f t="shared" si="4"/>
        <v>358117.10748578311</v>
      </c>
      <c r="J13" s="148">
        <f t="shared" si="4"/>
        <v>1162755.5246666665</v>
      </c>
      <c r="K13" s="148">
        <f t="shared" si="4"/>
        <v>1432468.4299431324</v>
      </c>
      <c r="L13" s="149">
        <f t="shared" si="4"/>
        <v>1</v>
      </c>
      <c r="M13" s="149">
        <f t="shared" si="4"/>
        <v>1</v>
      </c>
      <c r="IO13"/>
    </row>
    <row r="14" spans="2:249" s="7" customFormat="1" ht="15" customHeight="1">
      <c r="B14" s="118" t="str">
        <f>'Base Caxias do Sul'!B16</f>
        <v>APS TORRES</v>
      </c>
      <c r="C14" s="139">
        <f>VLOOKUP(B14,Unidades!$D$5:$G$36,4,)</f>
        <v>0.02</v>
      </c>
      <c r="D14" s="140">
        <f>'Base Caxias do Sul'!AD16*12+'Base Caxias do Sul'!AE16*4+'Base Caxias do Sul'!AF16*2+'Base Caxias do Sul'!AG16</f>
        <v>11823.462693510348</v>
      </c>
      <c r="E14" s="140">
        <f>'Base Caxias do Sul'!AK16*12+'Base Caxias do Sul'!AL16*4+'Base Caxias do Sul'!AM16*2+'Base Caxias do Sul'!AN16</f>
        <v>14451.818450277697</v>
      </c>
      <c r="IO14"/>
    </row>
    <row r="15" spans="2:249" s="7" customFormat="1" ht="15" customHeight="1">
      <c r="B15" s="118" t="str">
        <f>'Base Novo Hamburgo'!B7</f>
        <v>GEX NOVO HAMBURGO</v>
      </c>
      <c r="C15" s="139">
        <f>VLOOKUP(B15,Unidades!$D$5:$G$36,4,)</f>
        <v>0.02</v>
      </c>
      <c r="D15" s="140">
        <f>'Base Novo Hamburgo'!AD7*12+'Base Novo Hamburgo'!AE7*4+'Base Novo Hamburgo'!AF7*2+'Base Novo Hamburgo'!AG7</f>
        <v>8950.7875303541641</v>
      </c>
      <c r="E15" s="140">
        <f>'Base Novo Hamburgo'!AK7*12+'Base Novo Hamburgo'!AL7*4+'Base Novo Hamburgo'!AM7*2+'Base Novo Hamburgo'!AN7</f>
        <v>10940.547598351895</v>
      </c>
      <c r="IO15"/>
    </row>
    <row r="16" spans="2:249" s="7" customFormat="1" ht="15" customHeight="1">
      <c r="B16" s="118" t="str">
        <f>'Base Novo Hamburgo'!B8</f>
        <v>APS NOVO HAMBURGO</v>
      </c>
      <c r="C16" s="139">
        <f>VLOOKUP(B16,Unidades!$D$5:$G$36,4,)</f>
        <v>0.02</v>
      </c>
      <c r="D16" s="140">
        <f>'Base Novo Hamburgo'!AD8*12+'Base Novo Hamburgo'!AE8*4+'Base Novo Hamburgo'!AF8*2+'Base Novo Hamburgo'!AG8</f>
        <v>6083.8766935103467</v>
      </c>
      <c r="E16" s="140">
        <f>'Base Novo Hamburgo'!AK8*12+'Base Novo Hamburgo'!AL8*4+'Base Novo Hamburgo'!AM8*2+'Base Novo Hamburgo'!AN8</f>
        <v>7436.322482477698</v>
      </c>
      <c r="IO16"/>
    </row>
    <row r="17" spans="2:249" s="7" customFormat="1" ht="15" customHeight="1">
      <c r="B17" s="118" t="str">
        <f>'Base Novo Hamburgo'!B9</f>
        <v>APS CAMPO BOM</v>
      </c>
      <c r="C17" s="139">
        <f>VLOOKUP(B17,Unidades!$D$5:$G$36,4,)</f>
        <v>0.02</v>
      </c>
      <c r="D17" s="140">
        <f>'Base Novo Hamburgo'!AD9*12+'Base Novo Hamburgo'!AE9*4+'Base Novo Hamburgo'!AF9*2+'Base Novo Hamburgo'!AG9</f>
        <v>7143.419486181705</v>
      </c>
      <c r="E17" s="140">
        <f>'Base Novo Hamburgo'!AK9*12+'Base Novo Hamburgo'!AL9*4+'Base Novo Hamburgo'!AM9*2+'Base Novo Hamburgo'!AN9</f>
        <v>8731.4016379598961</v>
      </c>
      <c r="IO17"/>
    </row>
    <row r="18" spans="2:249" s="7" customFormat="1" ht="15" customHeight="1">
      <c r="B18" s="118" t="str">
        <f>'Base Novo Hamburgo'!B10</f>
        <v>DEPÓSITO NOVO HAMBURGO</v>
      </c>
      <c r="C18" s="139">
        <f>VLOOKUP(B18,Unidades!$D$5:$G$36,4,)</f>
        <v>0.02</v>
      </c>
      <c r="D18" s="140">
        <f>'Base Novo Hamburgo'!AD10*12+'Base Novo Hamburgo'!AE10*4+'Base Novo Hamburgo'!AF10*2+'Base Novo Hamburgo'!AG10</f>
        <v>9109.4428840184864</v>
      </c>
      <c r="E18" s="140">
        <f>'Base Novo Hamburgo'!AK10*12+'Base Novo Hamburgo'!AL10*4+'Base Novo Hamburgo'!AM10*2+'Base Novo Hamburgo'!AN10</f>
        <v>11134.472037135796</v>
      </c>
      <c r="IO18"/>
    </row>
    <row r="19" spans="2:249" s="7" customFormat="1" ht="15" customHeight="1">
      <c r="B19" s="118" t="str">
        <f>'Base Novo Hamburgo'!B11</f>
        <v>APS IGREJINHA</v>
      </c>
      <c r="C19" s="139">
        <f>VLOOKUP(B19,Unidades!$D$5:$G$36,4,)</f>
        <v>0.03</v>
      </c>
      <c r="D19" s="140">
        <f>'Base Novo Hamburgo'!AD11*12+'Base Novo Hamburgo'!AE11*4+'Base Novo Hamburgo'!AF11*2+'Base Novo Hamburgo'!AG11</f>
        <v>7083.2316935103481</v>
      </c>
      <c r="E19" s="140">
        <f>'Base Novo Hamburgo'!AK11*12+'Base Novo Hamburgo'!AL11*4+'Base Novo Hamburgo'!AM11*2+'Base Novo Hamburgo'!AN11</f>
        <v>8750.6244341626862</v>
      </c>
      <c r="IO19"/>
    </row>
    <row r="20" spans="2:249" s="7" customFormat="1" ht="15" customHeight="1">
      <c r="B20" s="118" t="str">
        <f>'Base Novo Hamburgo'!B12</f>
        <v>APS TRÊS COROAS</v>
      </c>
      <c r="C20" s="139">
        <f>VLOOKUP(B20,Unidades!$D$5:$G$36,4,)</f>
        <v>0.02</v>
      </c>
      <c r="D20" s="140">
        <f>'Base Novo Hamburgo'!AD12*12+'Base Novo Hamburgo'!AE12*4+'Base Novo Hamburgo'!AF12*2+'Base Novo Hamburgo'!AG12</f>
        <v>7083.2316935103481</v>
      </c>
      <c r="E20" s="140">
        <f>'Base Novo Hamburgo'!AK12*12+'Base Novo Hamburgo'!AL12*4+'Base Novo Hamburgo'!AM12*2+'Base Novo Hamburgo'!AN12</f>
        <v>8657.8340989776989</v>
      </c>
      <c r="IO20"/>
    </row>
    <row r="21" spans="2:249" s="7" customFormat="1" ht="15" customHeight="1">
      <c r="B21" s="118" t="str">
        <f>'Base Novo Hamburgo'!B13</f>
        <v>APS DOIS IRMÃOS</v>
      </c>
      <c r="C21" s="139">
        <f>VLOOKUP(B21,Unidades!$D$5:$G$36,4,)</f>
        <v>0.02</v>
      </c>
      <c r="D21" s="140">
        <f>'Base Novo Hamburgo'!AD13*12+'Base Novo Hamburgo'!AE13*4+'Base Novo Hamburgo'!AF13*2+'Base Novo Hamburgo'!AG13</f>
        <v>7403.3174028483718</v>
      </c>
      <c r="E21" s="140">
        <f>'Base Novo Hamburgo'!AK13*12+'Base Novo Hamburgo'!AL13*4+'Base Novo Hamburgo'!AM13*2+'Base Novo Hamburgo'!AN13</f>
        <v>9049.0748615015636</v>
      </c>
      <c r="IO21"/>
    </row>
    <row r="22" spans="2:249" s="88" customFormat="1" ht="15" customHeight="1">
      <c r="B22" s="118" t="str">
        <f>'Base Novo Hamburgo'!B14</f>
        <v>APS SAPIRANGA</v>
      </c>
      <c r="C22" s="139">
        <f>VLOOKUP(B22,Unidades!$D$5:$G$36,4,)</f>
        <v>0.02</v>
      </c>
      <c r="D22" s="140">
        <f>'Base Novo Hamburgo'!AD14*12+'Base Novo Hamburgo'!AE14*4+'Base Novo Hamburgo'!AF14*2+'Base Novo Hamburgo'!AG14</f>
        <v>9369.3408006851532</v>
      </c>
      <c r="E22" s="140">
        <f>'Base Novo Hamburgo'!AK14*12+'Base Novo Hamburgo'!AL14*4+'Base Novo Hamburgo'!AM14*2+'Base Novo Hamburgo'!AN14</f>
        <v>11452.145260677464</v>
      </c>
    </row>
    <row r="23" spans="2:249" s="7" customFormat="1" ht="15" customHeight="1">
      <c r="B23" s="118" t="str">
        <f>'Base Novo Hamburgo'!B15</f>
        <v>APS PORTÃO</v>
      </c>
      <c r="C23" s="139">
        <f>VLOOKUP(B23,Unidades!$D$5:$G$36,4,)</f>
        <v>2.5000000000000001E-2</v>
      </c>
      <c r="D23" s="140">
        <f>'Base Novo Hamburgo'!AD15*12+'Base Novo Hamburgo'!AE15*4+'Base Novo Hamburgo'!AF15*2+'Base Novo Hamburgo'!AG15</f>
        <v>6454.6197768436814</v>
      </c>
      <c r="E23" s="140">
        <f>'Base Novo Hamburgo'!AK15*12+'Base Novo Hamburgo'!AL15*4+'Base Novo Hamburgo'!AM15*2+'Base Novo Hamburgo'!AN15</f>
        <v>7931.4367817855164</v>
      </c>
      <c r="IO23"/>
    </row>
    <row r="24" spans="2:249" ht="15" customHeight="1">
      <c r="B24" s="118" t="str">
        <f>'Base Novo Hamburgo'!B16</f>
        <v>APS SÃO LEOPOLDO</v>
      </c>
      <c r="C24" s="139">
        <f>VLOOKUP(B24,Unidades!$D$5:$G$36,4,)</f>
        <v>0.03</v>
      </c>
      <c r="D24" s="140">
        <f>'Base Novo Hamburgo'!AD16*12+'Base Novo Hamburgo'!AE16*4+'Base Novo Hamburgo'!AF16*2+'Base Novo Hamburgo'!AG16</f>
        <v>9390.132634018486</v>
      </c>
      <c r="E24" s="140">
        <f>'Base Novo Hamburgo'!AK16*12+'Base Novo Hamburgo'!AL16*4+'Base Novo Hamburgo'!AM16*2+'Base Novo Hamburgo'!AN16</f>
        <v>11600.569856066439</v>
      </c>
    </row>
    <row r="25" spans="2:249" ht="15" customHeight="1">
      <c r="B25" s="118" t="str">
        <f>'Base Novo Hamburgo'!B17</f>
        <v>APS MONTENEGRO</v>
      </c>
      <c r="C25" s="139">
        <f>VLOOKUP(B25,Unidades!$D$5:$G$36,4,)</f>
        <v>0.03</v>
      </c>
      <c r="D25" s="140">
        <f>'Base Novo Hamburgo'!AD17*12+'Base Novo Hamburgo'!AE17*4+'Base Novo Hamburgo'!AF17*2+'Base Novo Hamburgo'!AG17</f>
        <v>9960.5366340184846</v>
      </c>
      <c r="E25" s="140">
        <f>'Base Novo Hamburgo'!AK17*12+'Base Novo Hamburgo'!AL17*4+'Base Novo Hamburgo'!AM17*2+'Base Novo Hamburgo'!AN17</f>
        <v>12305.246957666439</v>
      </c>
    </row>
    <row r="26" spans="2:249" ht="15" customHeight="1">
      <c r="B26" s="118" t="str">
        <f>'Base Novo Hamburgo'!B18</f>
        <v>APS SÃO SEBASTIÃO DO CAÍ</v>
      </c>
      <c r="C26" s="139">
        <f>VLOOKUP(B26,Unidades!$D$5:$G$36,4,)</f>
        <v>0.03</v>
      </c>
      <c r="D26" s="140">
        <f>'Base Novo Hamburgo'!AD18*12+'Base Novo Hamburgo'!AE18*4+'Base Novo Hamburgo'!AF18*2+'Base Novo Hamburgo'!AG18</f>
        <v>9960.5366340184846</v>
      </c>
      <c r="E26" s="140">
        <f>'Base Novo Hamburgo'!AK18*12+'Base Novo Hamburgo'!AL18*4+'Base Novo Hamburgo'!AM18*2+'Base Novo Hamburgo'!AN18</f>
        <v>12305.246957666439</v>
      </c>
    </row>
    <row r="27" spans="2:249" ht="15" customHeight="1">
      <c r="B27" s="118" t="str">
        <f>'Base Novo Hamburgo'!B19</f>
        <v>APS ESTRELA</v>
      </c>
      <c r="C27" s="139">
        <f>VLOOKUP(B27,Unidades!$D$5:$G$36,4,)</f>
        <v>2.5000000000000001E-2</v>
      </c>
      <c r="D27" s="140">
        <f>'Base Novo Hamburgo'!AD19*12+'Base Novo Hamburgo'!AE19*4+'Base Novo Hamburgo'!AF19*2+'Base Novo Hamburgo'!AG19</f>
        <v>10831.993634018487</v>
      </c>
      <c r="E27" s="140">
        <f>'Base Novo Hamburgo'!AK19*12+'Base Novo Hamburgo'!AL19*4+'Base Novo Hamburgo'!AM19*2+'Base Novo Hamburgo'!AN19</f>
        <v>13310.35377748192</v>
      </c>
    </row>
    <row r="28" spans="2:249" ht="15" customHeight="1">
      <c r="B28" s="118" t="str">
        <f>'Base Novo Hamburgo'!B20</f>
        <v>APS LAJEADO</v>
      </c>
      <c r="C28" s="139">
        <f>VLOOKUP(B28,Unidades!$D$5:$G$36,4,)</f>
        <v>2.5000000000000001E-2</v>
      </c>
      <c r="D28" s="140">
        <f>'Base Novo Hamburgo'!AD20*12+'Base Novo Hamburgo'!AE20*4+'Base Novo Hamburgo'!AF20*2+'Base Novo Hamburgo'!AG20</f>
        <v>11006.007613687498</v>
      </c>
      <c r="E28" s="140">
        <f>'Base Novo Hamburgo'!AK20*12+'Base Novo Hamburgo'!AL20*4+'Base Novo Hamburgo'!AM20*2+'Base Novo Hamburgo'!AN20</f>
        <v>13524.1821556992</v>
      </c>
    </row>
    <row r="29" spans="2:249" ht="15" customHeight="1">
      <c r="B29" s="118" t="str">
        <f>'Base Novo Hamburgo'!B21</f>
        <v>APS Encantado</v>
      </c>
      <c r="C29" s="139">
        <f>VLOOKUP(B29,Unidades!$D$5:$G$36,4,)</f>
        <v>2.5000000000000001E-2</v>
      </c>
      <c r="D29" s="140">
        <f>'Base Novo Hamburgo'!AD21*12+'Base Novo Hamburgo'!AE21*4+'Base Novo Hamburgo'!AF21*2+'Base Novo Hamburgo'!AG21</f>
        <v>12874.199573025522</v>
      </c>
      <c r="E29" s="140">
        <f>'Base Novo Hamburgo'!AK21*12+'Base Novo Hamburgo'!AL21*4+'Base Novo Hamburgo'!AM21*2+'Base Novo Hamburgo'!AN21</f>
        <v>15819.816435333763</v>
      </c>
    </row>
    <row r="30" spans="2:249" ht="15" customHeight="1">
      <c r="B30" s="118" t="str">
        <f>'Base Novo Hamburgo'!B22</f>
        <v>APS TEUTÔNIA</v>
      </c>
      <c r="C30" s="139">
        <f>VLOOKUP(B30,Unidades!$D$5:$G$36,4,)</f>
        <v>0.03</v>
      </c>
      <c r="D30" s="140">
        <f>'Base Novo Hamburgo'!AD22*12+'Base Novo Hamburgo'!AE22*4+'Base Novo Hamburgo'!AF22*2+'Base Novo Hamburgo'!AG22</f>
        <v>8707.3867768436812</v>
      </c>
      <c r="E30" s="140">
        <f>'Base Novo Hamburgo'!AK22*12+'Base Novo Hamburgo'!AL22*4+'Base Novo Hamburgo'!AM22*2+'Base Novo Hamburgo'!AN22</f>
        <v>10757.105624112684</v>
      </c>
    </row>
    <row r="31" spans="2:249" ht="15" customHeight="1">
      <c r="B31" s="118" t="str">
        <f>'Base Novo Hamburgo'!B23</f>
        <v>APS TAQUARA</v>
      </c>
      <c r="C31" s="139">
        <f>VLOOKUP(B31,Unidades!$D$5:$G$36,4,)</f>
        <v>0.03</v>
      </c>
      <c r="D31" s="140">
        <f>'Base Novo Hamburgo'!AD23*12+'Base Novo Hamburgo'!AE23*4+'Base Novo Hamburgo'!AF23*2+'Base Novo Hamburgo'!AG23</f>
        <v>10502.740634018488</v>
      </c>
      <c r="E31" s="140">
        <f>'Base Novo Hamburgo'!AK23*12+'Base Novo Hamburgo'!AL23*4+'Base Novo Hamburgo'!AM23*2+'Base Novo Hamburgo'!AN23</f>
        <v>12975.085779266439</v>
      </c>
    </row>
    <row r="32" spans="2:249" ht="15" customHeight="1">
      <c r="B32" s="118" t="str">
        <f>'Base Novo Hamburgo'!B24</f>
        <v>APS SANTO ANTÔNIO DA PATRULHA</v>
      </c>
      <c r="C32" s="139">
        <f>VLOOKUP(B32,Unidades!$D$5:$G$36,4,)</f>
        <v>0.04</v>
      </c>
      <c r="D32" s="140">
        <f>'Base Novo Hamburgo'!AD24*12+'Base Novo Hamburgo'!AE24*4+'Base Novo Hamburgo'!AF24*2+'Base Novo Hamburgo'!AG24</f>
        <v>7567.2277768436807</v>
      </c>
      <c r="E32" s="140">
        <f>'Base Novo Hamburgo'!AK24*12+'Base Novo Hamburgo'!AL24*4+'Base Novo Hamburgo'!AM24*2+'Base Novo Hamburgo'!AN24</f>
        <v>9449.1973249447055</v>
      </c>
    </row>
    <row r="33" spans="2:5" ht="15" customHeight="1">
      <c r="B33" s="118" t="str">
        <f>'Base Novo Hamburgo'!B25</f>
        <v>APS OSÓRIO</v>
      </c>
      <c r="C33" s="139">
        <f>VLOOKUP(B33,Unidades!$D$5:$G$36,4,)</f>
        <v>0.02</v>
      </c>
      <c r="D33" s="140">
        <f>'Base Novo Hamburgo'!AD25*12+'Base Novo Hamburgo'!AE25*4+'Base Novo Hamburgo'!AF25*2+'Base Novo Hamburgo'!AG25</f>
        <v>13966.627989692186</v>
      </c>
      <c r="E33" s="140">
        <f>'Base Novo Hamburgo'!AK25*12+'Base Novo Hamburgo'!AL25*4+'Base Novo Hamburgo'!AM25*2+'Base Novo Hamburgo'!AN25</f>
        <v>17071.40939180076</v>
      </c>
    </row>
    <row r="34" spans="2:5" ht="15" customHeight="1">
      <c r="B34" s="118" t="str">
        <f>'Base Novo Hamburgo'!B26</f>
        <v>APS BUTIÁ</v>
      </c>
      <c r="C34" s="139">
        <f>VLOOKUP(B34,Unidades!$D$5:$G$36,4,)</f>
        <v>0.03</v>
      </c>
      <c r="D34" s="140">
        <f>'Base Novo Hamburgo'!AD26*12+'Base Novo Hamburgo'!AE26*4+'Base Novo Hamburgo'!AF26*2+'Base Novo Hamburgo'!AG26</f>
        <v>9160.2273195150374</v>
      </c>
      <c r="E34" s="140">
        <f>'Base Novo Hamburgo'!AK26*12+'Base Novo Hamburgo'!AL26*4+'Base Novo Hamburgo'!AM26*2+'Base Novo Hamburgo'!AN26</f>
        <v>11316.544830528877</v>
      </c>
    </row>
    <row r="35" spans="2:5" ht="15" customHeight="1">
      <c r="B35" s="118" t="str">
        <f>'Base Novo Hamburgo'!B27</f>
        <v>APS SÃO JERÔNIMO</v>
      </c>
      <c r="C35" s="139">
        <f>VLOOKUP(B35,Unidades!$D$5:$G$36,4,)</f>
        <v>0.03</v>
      </c>
      <c r="D35" s="140">
        <f>'Base Novo Hamburgo'!AD27*12+'Base Novo Hamburgo'!AE27*4+'Base Novo Hamburgo'!AF27*2+'Base Novo Hamburgo'!AG27</f>
        <v>11126.250717351821</v>
      </c>
      <c r="E35" s="140">
        <f>'Base Novo Hamburgo'!AK27*12+'Base Novo Hamburgo'!AL27*4+'Base Novo Hamburgo'!AM27*2+'Base Novo Hamburgo'!AN27</f>
        <v>13745.370136216439</v>
      </c>
    </row>
    <row r="36" spans="2:5" ht="15" customHeight="1">
      <c r="B36" s="118" t="str">
        <f>'Base Novo Hamburgo'!B28</f>
        <v>APS TAQUARI</v>
      </c>
      <c r="C36" s="139">
        <f>VLOOKUP(B36,Unidades!$D$5:$G$36,4,)</f>
        <v>0.02</v>
      </c>
      <c r="D36" s="140">
        <f>'Base Novo Hamburgo'!AD28*12+'Base Novo Hamburgo'!AE28*4+'Base Novo Hamburgo'!AF28*2+'Base Novo Hamburgo'!AG28</f>
        <v>10220.610819515037</v>
      </c>
      <c r="E36" s="140">
        <f>'Base Novo Hamburgo'!AK28*12+'Base Novo Hamburgo'!AL28*4+'Base Novo Hamburgo'!AM28*2+'Base Novo Hamburgo'!AN28</f>
        <v>12492.65260469323</v>
      </c>
    </row>
    <row r="37" spans="2:5" ht="15">
      <c r="B37" s="370" t="s">
        <v>80</v>
      </c>
      <c r="C37" s="370"/>
      <c r="D37" s="147">
        <f>SUM(D5:D36)</f>
        <v>290688.88116666657</v>
      </c>
      <c r="E37" s="147">
        <f>SUM(E5:E36)</f>
        <v>358117.10748578323</v>
      </c>
    </row>
  </sheetData>
  <mergeCells count="2">
    <mergeCell ref="B2:M2"/>
    <mergeCell ref="B37:C37"/>
  </mergeCells>
  <printOptions horizontalCentered="1"/>
  <pageMargins left="0.15069444444444399" right="7.2916666666666699E-2" top="0.13750000000000001" bottom="8.2638888888888901E-2" header="0.51180555555555496" footer="0.51180555555555496"/>
  <pageSetup paperSize="9" pageOrder="overThenDown" orientation="portrait" useFirstPageNumber="1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FF"/>
  </sheetPr>
  <dimension ref="B1:IP48"/>
  <sheetViews>
    <sheetView showGridLines="0" zoomScale="110" zoomScaleNormal="110" workbookViewId="0">
      <selection activeCell="K17" sqref="K17"/>
    </sheetView>
  </sheetViews>
  <sheetFormatPr defaultRowHeight="14.25"/>
  <cols>
    <col min="1" max="1" width="5.625" customWidth="1"/>
    <col min="2" max="2" width="33.375" style="7" customWidth="1"/>
    <col min="3" max="4" width="14.75" style="7" customWidth="1"/>
    <col min="5" max="5" width="15.625" style="7" customWidth="1"/>
    <col min="6" max="6" width="13.75" style="7" customWidth="1"/>
    <col min="7" max="7" width="14.875" style="7" customWidth="1"/>
    <col min="8" max="8" width="14.375" style="7" customWidth="1"/>
    <col min="9" max="9" width="14" style="8" customWidth="1"/>
    <col min="10" max="10" width="14.875" style="7" customWidth="1"/>
    <col min="11" max="249" width="10.625" style="7" customWidth="1"/>
    <col min="250" max="1019" width="10.5" customWidth="1"/>
  </cols>
  <sheetData>
    <row r="1" spans="2:250" ht="15" customHeight="1"/>
    <row r="2" spans="2:250" ht="24.95" customHeight="1">
      <c r="B2" s="244" t="str">
        <f>"PLANILHA RESUMO "&amp;'Valor da Contratação'!B7&amp;""</f>
        <v>PLANILHA RESUMO POLO VIII</v>
      </c>
      <c r="C2" s="245"/>
      <c r="D2" s="245"/>
      <c r="E2" s="245"/>
      <c r="F2" s="245"/>
      <c r="G2" s="245"/>
      <c r="H2" s="245"/>
      <c r="I2" s="246"/>
      <c r="J2" s="150"/>
    </row>
    <row r="3" spans="2:250" ht="15" customHeight="1">
      <c r="B3" s="5"/>
      <c r="H3" s="5"/>
      <c r="I3" s="9"/>
    </row>
    <row r="4" spans="2:250" ht="46.5" customHeight="1">
      <c r="B4" s="10" t="s">
        <v>9</v>
      </c>
      <c r="C4" s="10" t="s">
        <v>10</v>
      </c>
      <c r="D4" s="10" t="s">
        <v>11</v>
      </c>
      <c r="E4" s="10" t="s">
        <v>12</v>
      </c>
      <c r="F4" s="10" t="s">
        <v>13</v>
      </c>
      <c r="G4" s="10" t="s">
        <v>14</v>
      </c>
      <c r="H4" s="10" t="s">
        <v>15</v>
      </c>
      <c r="I4" s="10" t="s">
        <v>16</v>
      </c>
    </row>
    <row r="5" spans="2:250" ht="20.100000000000001" customHeight="1">
      <c r="B5" s="112" t="s">
        <v>189</v>
      </c>
      <c r="C5" s="12">
        <f>'Base Caxias do Sul'!C17</f>
        <v>9708.8799999999992</v>
      </c>
      <c r="D5" s="6">
        <f>'Base Caxias do Sul'!AT10</f>
        <v>8946.7055384396299</v>
      </c>
      <c r="E5" s="6">
        <f>D5*12</f>
        <v>107360.46646127556</v>
      </c>
      <c r="F5" s="6">
        <f>'Base Caxias do Sul'!AT12</f>
        <v>26840.11661531889</v>
      </c>
      <c r="G5" s="6">
        <f>F5*12</f>
        <v>322081.39938382665</v>
      </c>
      <c r="H5" s="6">
        <f>D5+F5</f>
        <v>35786.82215375852</v>
      </c>
      <c r="I5" s="6">
        <f>H5*12</f>
        <v>429441.86584510223</v>
      </c>
    </row>
    <row r="6" spans="2:250" ht="20.100000000000001" customHeight="1">
      <c r="B6" s="112" t="s">
        <v>211</v>
      </c>
      <c r="C6" s="12">
        <f>'Base Novo Hamburgo'!C29</f>
        <v>31722.959999999999</v>
      </c>
      <c r="D6" s="6">
        <f>'Base Novo Hamburgo'!AT10</f>
        <v>20896.386752042297</v>
      </c>
      <c r="E6" s="6">
        <f>D6*12</f>
        <v>250756.64102450758</v>
      </c>
      <c r="F6" s="6">
        <f>'Base Novo Hamburgo'!AT12</f>
        <v>62689.160256126896</v>
      </c>
      <c r="G6" s="6">
        <f>F6*12</f>
        <v>752269.92307352275</v>
      </c>
      <c r="H6" s="6">
        <f>D6+F6</f>
        <v>83585.547008169189</v>
      </c>
      <c r="I6" s="6">
        <f>H6*12</f>
        <v>1003026.5640980303</v>
      </c>
    </row>
    <row r="7" spans="2:250" ht="20.100000000000001" customHeight="1">
      <c r="B7" s="13" t="str">
        <f>"TOTAL "&amp;'Valor da Contratação'!B7&amp;""</f>
        <v>TOTAL POLO VIII</v>
      </c>
      <c r="C7" s="14">
        <f t="shared" ref="C7:I7" si="0">SUM(C5:C6)</f>
        <v>41431.839999999997</v>
      </c>
      <c r="D7" s="15">
        <f t="shared" si="0"/>
        <v>29843.092290481927</v>
      </c>
      <c r="E7" s="15">
        <f t="shared" si="0"/>
        <v>358117.10748578317</v>
      </c>
      <c r="F7" s="15">
        <f t="shared" si="0"/>
        <v>89529.276871445792</v>
      </c>
      <c r="G7" s="15">
        <f t="shared" si="0"/>
        <v>1074351.3224573494</v>
      </c>
      <c r="H7" s="15">
        <f t="shared" si="0"/>
        <v>119372.36916192771</v>
      </c>
      <c r="I7" s="15">
        <f t="shared" si="0"/>
        <v>1432468.4299431327</v>
      </c>
    </row>
    <row r="8" spans="2:250" ht="24.95" customHeight="1">
      <c r="B8" s="5"/>
      <c r="C8" s="5"/>
      <c r="D8" s="5"/>
      <c r="E8" s="5"/>
      <c r="F8" s="5"/>
      <c r="G8" s="16"/>
      <c r="H8" s="5"/>
      <c r="I8" s="9"/>
    </row>
    <row r="9" spans="2:250" s="17" customFormat="1" ht="27.2" customHeight="1">
      <c r="B9" s="247" t="str">
        <f>"BASE "&amp;B5</f>
        <v>BASE CAXIAS DO SUL</v>
      </c>
      <c r="C9" s="248" t="s">
        <v>17</v>
      </c>
      <c r="D9" s="248"/>
      <c r="E9" s="248"/>
      <c r="F9" s="248" t="s">
        <v>18</v>
      </c>
      <c r="G9" s="248"/>
      <c r="H9" s="248"/>
      <c r="I9" s="92" t="s">
        <v>19</v>
      </c>
      <c r="IP9" s="18"/>
    </row>
    <row r="10" spans="2:250" s="17" customFormat="1" ht="22.7" customHeight="1">
      <c r="B10" s="247"/>
      <c r="C10" s="93" t="s">
        <v>20</v>
      </c>
      <c r="D10" s="93" t="s">
        <v>21</v>
      </c>
      <c r="E10" s="93" t="s">
        <v>22</v>
      </c>
      <c r="F10" s="94" t="s">
        <v>20</v>
      </c>
      <c r="G10" s="94" t="s">
        <v>21</v>
      </c>
      <c r="H10" s="94" t="s">
        <v>22</v>
      </c>
      <c r="I10" s="94" t="s">
        <v>23</v>
      </c>
      <c r="IP10" s="18"/>
    </row>
    <row r="11" spans="2:250" ht="17.100000000000001" customHeight="1">
      <c r="B11" s="112" t="str">
        <f>'Base Caxias do Sul'!B7</f>
        <v>GEX/APS CAXIAS DO SUL</v>
      </c>
      <c r="C11" s="6">
        <f>'Base Caxias do Sul'!AO7</f>
        <v>1450.5856833613514</v>
      </c>
      <c r="D11" s="6">
        <f t="shared" ref="D11:D20" si="1">C11*3</f>
        <v>4351.7570500840538</v>
      </c>
      <c r="E11" s="6">
        <f t="shared" ref="E11:E20" si="2">C11+D11</f>
        <v>5802.3427334454054</v>
      </c>
      <c r="F11" s="6">
        <f t="shared" ref="F11:F20" si="3">C11*12</f>
        <v>17407.028200336215</v>
      </c>
      <c r="G11" s="6">
        <f t="shared" ref="G11:G20" si="4">F11*3</f>
        <v>52221.084601008646</v>
      </c>
      <c r="H11" s="6">
        <f t="shared" ref="H11:H20" si="5">F11+G11</f>
        <v>69628.112801344862</v>
      </c>
      <c r="I11" s="20">
        <f t="shared" ref="I11:I20" si="6">F11/$E$7</f>
        <v>4.8607083650778267E-2</v>
      </c>
    </row>
    <row r="12" spans="2:250" ht="17.100000000000001" customHeight="1">
      <c r="B12" s="112" t="str">
        <f>'Base Caxias do Sul'!B8</f>
        <v>CEDOCPREV CAXIAS DO SUL</v>
      </c>
      <c r="C12" s="6">
        <f>'Base Caxias do Sul'!AO8</f>
        <v>631.63105109191974</v>
      </c>
      <c r="D12" s="6">
        <f t="shared" si="1"/>
        <v>1894.8931532757592</v>
      </c>
      <c r="E12" s="6">
        <f t="shared" si="2"/>
        <v>2526.524204367679</v>
      </c>
      <c r="F12" s="6">
        <f t="shared" si="3"/>
        <v>7579.5726131030369</v>
      </c>
      <c r="G12" s="6">
        <f t="shared" si="4"/>
        <v>22738.717839309109</v>
      </c>
      <c r="H12" s="6">
        <f t="shared" si="5"/>
        <v>30318.290452412148</v>
      </c>
      <c r="I12" s="20">
        <f t="shared" si="6"/>
        <v>2.1165067109797143E-2</v>
      </c>
    </row>
    <row r="13" spans="2:250" ht="17.100000000000001" customHeight="1">
      <c r="B13" s="112" t="str">
        <f>'Base Caxias do Sul'!B9</f>
        <v>ARQUIVO RUA MARQUÊS DO HERVAL</v>
      </c>
      <c r="C13" s="6">
        <f>'Base Caxias do Sul'!AO9</f>
        <v>653.06465707386428</v>
      </c>
      <c r="D13" s="6">
        <f t="shared" si="1"/>
        <v>1959.1939712215928</v>
      </c>
      <c r="E13" s="6">
        <f t="shared" si="2"/>
        <v>2612.2586282954571</v>
      </c>
      <c r="F13" s="6">
        <f t="shared" si="3"/>
        <v>7836.7758848863714</v>
      </c>
      <c r="G13" s="6">
        <f t="shared" si="4"/>
        <v>23510.327654659115</v>
      </c>
      <c r="H13" s="6">
        <f t="shared" si="5"/>
        <v>31347.103539545486</v>
      </c>
      <c r="I13" s="20">
        <f t="shared" si="6"/>
        <v>2.1883277065163614E-2</v>
      </c>
    </row>
    <row r="14" spans="2:250" ht="17.100000000000001" customHeight="1">
      <c r="B14" s="112" t="str">
        <f>'Base Caxias do Sul'!B10</f>
        <v>APS FLORES DA CUNHA</v>
      </c>
      <c r="C14" s="6">
        <f>'Base Caxias do Sul'!AO10</f>
        <v>639.25757214814155</v>
      </c>
      <c r="D14" s="6">
        <f t="shared" si="1"/>
        <v>1917.7727164444245</v>
      </c>
      <c r="E14" s="6">
        <f t="shared" si="2"/>
        <v>2557.0302885925662</v>
      </c>
      <c r="F14" s="6">
        <f t="shared" si="3"/>
        <v>7671.0908657776981</v>
      </c>
      <c r="G14" s="6">
        <f t="shared" si="4"/>
        <v>23013.272597333096</v>
      </c>
      <c r="H14" s="6">
        <f t="shared" si="5"/>
        <v>30684.363463110793</v>
      </c>
      <c r="I14" s="20">
        <f t="shared" si="6"/>
        <v>2.1420621091334576E-2</v>
      </c>
    </row>
    <row r="15" spans="2:250" ht="17.100000000000001" customHeight="1">
      <c r="B15" s="112" t="str">
        <f>'Base Caxias do Sul'!B11</f>
        <v>APS CARLOS BARBOSA</v>
      </c>
      <c r="C15" s="6">
        <f>'Base Caxias do Sul'!AO11</f>
        <v>732.54543975728859</v>
      </c>
      <c r="D15" s="6">
        <f t="shared" si="1"/>
        <v>2197.6363192718659</v>
      </c>
      <c r="E15" s="6">
        <f t="shared" si="2"/>
        <v>2930.1817590291544</v>
      </c>
      <c r="F15" s="6">
        <f t="shared" si="3"/>
        <v>8790.5452770874635</v>
      </c>
      <c r="G15" s="6">
        <f t="shared" si="4"/>
        <v>26371.635831262392</v>
      </c>
      <c r="H15" s="6">
        <f t="shared" si="5"/>
        <v>35162.181108349854</v>
      </c>
      <c r="I15" s="20">
        <f t="shared" si="6"/>
        <v>2.4546566174408292E-2</v>
      </c>
    </row>
    <row r="16" spans="2:250" ht="17.100000000000001" customHeight="1">
      <c r="B16" s="112" t="str">
        <f>'Base Caxias do Sul'!B12</f>
        <v>APS GARIBALDI</v>
      </c>
      <c r="C16" s="6">
        <f>'Base Caxias do Sul'!AO12</f>
        <v>716.87788044689034</v>
      </c>
      <c r="D16" s="6">
        <f t="shared" si="1"/>
        <v>2150.6336413406711</v>
      </c>
      <c r="E16" s="6">
        <f t="shared" si="2"/>
        <v>2867.5115217875614</v>
      </c>
      <c r="F16" s="6">
        <f t="shared" si="3"/>
        <v>8602.5345653626846</v>
      </c>
      <c r="G16" s="6">
        <f t="shared" si="4"/>
        <v>25807.603696088052</v>
      </c>
      <c r="H16" s="6">
        <f t="shared" si="5"/>
        <v>34410.138261450738</v>
      </c>
      <c r="I16" s="20">
        <f t="shared" si="6"/>
        <v>2.4021568323719902E-2</v>
      </c>
    </row>
    <row r="17" spans="2:250" ht="17.100000000000001" customHeight="1">
      <c r="B17" s="112" t="str">
        <f>'Base Caxias do Sul'!B13</f>
        <v>APS BENTO GONÇALVES</v>
      </c>
      <c r="C17" s="6">
        <f>'Base Caxias do Sul'!AO13</f>
        <v>909.00470417918712</v>
      </c>
      <c r="D17" s="6">
        <f t="shared" si="1"/>
        <v>2727.0141125375612</v>
      </c>
      <c r="E17" s="6">
        <f t="shared" si="2"/>
        <v>3636.0188167167485</v>
      </c>
      <c r="F17" s="6">
        <f t="shared" si="3"/>
        <v>10908.056450150245</v>
      </c>
      <c r="G17" s="6">
        <f t="shared" si="4"/>
        <v>32724.169350450735</v>
      </c>
      <c r="H17" s="6">
        <f t="shared" si="5"/>
        <v>43632.22580060098</v>
      </c>
      <c r="I17" s="20">
        <f t="shared" si="6"/>
        <v>3.0459467649372997E-2</v>
      </c>
    </row>
    <row r="18" spans="2:250" ht="17.100000000000001" customHeight="1">
      <c r="B18" s="112" t="str">
        <f>'Base Caxias do Sul'!B14</f>
        <v>APS FARROUPILHA</v>
      </c>
      <c r="C18" s="6">
        <f>'Base Caxias do Sul'!AO14</f>
        <v>701.03872564814139</v>
      </c>
      <c r="D18" s="6">
        <f t="shared" si="1"/>
        <v>2103.1161769444243</v>
      </c>
      <c r="E18" s="6">
        <f t="shared" si="2"/>
        <v>2804.1549025925656</v>
      </c>
      <c r="F18" s="6">
        <f t="shared" si="3"/>
        <v>8412.4647077776972</v>
      </c>
      <c r="G18" s="6">
        <f t="shared" si="4"/>
        <v>25237.394123333092</v>
      </c>
      <c r="H18" s="6">
        <f t="shared" si="5"/>
        <v>33649.858831110789</v>
      </c>
      <c r="I18" s="20">
        <f t="shared" si="6"/>
        <v>2.3490820549843916E-2</v>
      </c>
    </row>
    <row r="19" spans="2:250" ht="17.100000000000001" customHeight="1">
      <c r="B19" s="112" t="str">
        <f>'Base Caxias do Sul'!B15</f>
        <v>APS CANELA</v>
      </c>
      <c r="C19" s="6">
        <f>'Base Caxias do Sul'!AO15</f>
        <v>1308.3816205430367</v>
      </c>
      <c r="D19" s="6">
        <f t="shared" si="1"/>
        <v>3925.14486162911</v>
      </c>
      <c r="E19" s="6">
        <f t="shared" si="2"/>
        <v>5233.5264821721466</v>
      </c>
      <c r="F19" s="6">
        <f t="shared" si="3"/>
        <v>15700.57944651644</v>
      </c>
      <c r="G19" s="6">
        <f t="shared" si="4"/>
        <v>47101.738339549323</v>
      </c>
      <c r="H19" s="6">
        <f t="shared" si="5"/>
        <v>62802.31778606576</v>
      </c>
      <c r="I19" s="20">
        <f t="shared" si="6"/>
        <v>4.3842025746116398E-2</v>
      </c>
    </row>
    <row r="20" spans="2:250" ht="17.100000000000001" customHeight="1">
      <c r="B20" s="112" t="str">
        <f>'Base Caxias do Sul'!B16</f>
        <v>APS TORRES</v>
      </c>
      <c r="C20" s="6">
        <f>'Base Caxias do Sul'!AO16</f>
        <v>1204.3182041898081</v>
      </c>
      <c r="D20" s="6">
        <f t="shared" si="1"/>
        <v>3612.9546125694242</v>
      </c>
      <c r="E20" s="6">
        <f t="shared" si="2"/>
        <v>4817.2728167592322</v>
      </c>
      <c r="F20" s="6">
        <f t="shared" si="3"/>
        <v>14451.818450277697</v>
      </c>
      <c r="G20" s="6">
        <f t="shared" si="4"/>
        <v>43355.455350833086</v>
      </c>
      <c r="H20" s="6">
        <f t="shared" si="5"/>
        <v>57807.273801110787</v>
      </c>
      <c r="I20" s="20">
        <f t="shared" si="6"/>
        <v>4.0355007197893825E-2</v>
      </c>
    </row>
    <row r="21" spans="2:250" ht="22.7" customHeight="1">
      <c r="B21" s="21" t="str">
        <f>"Total Base "&amp;B5</f>
        <v>Total Base CAXIAS DO SUL</v>
      </c>
      <c r="C21" s="21">
        <f t="shared" ref="C21:I21" si="7">SUM(C11:C20)</f>
        <v>8946.7055384396299</v>
      </c>
      <c r="D21" s="21">
        <f t="shared" si="7"/>
        <v>26840.11661531889</v>
      </c>
      <c r="E21" s="21">
        <f t="shared" si="7"/>
        <v>35786.82215375852</v>
      </c>
      <c r="F21" s="21">
        <f t="shared" si="7"/>
        <v>107360.46646127556</v>
      </c>
      <c r="G21" s="21">
        <f t="shared" si="7"/>
        <v>322081.39938382665</v>
      </c>
      <c r="H21" s="21">
        <f t="shared" si="7"/>
        <v>429441.86584510223</v>
      </c>
      <c r="I21" s="22">
        <f t="shared" si="7"/>
        <v>0.2997915045584289</v>
      </c>
    </row>
    <row r="22" spans="2:250" ht="22.7" customHeight="1">
      <c r="B22" s="23"/>
      <c r="C22" s="23"/>
      <c r="D22" s="23"/>
      <c r="E22" s="23"/>
      <c r="F22" s="23"/>
      <c r="G22" s="23"/>
      <c r="H22" s="23"/>
      <c r="I22" s="24"/>
    </row>
    <row r="23" spans="2:250" s="17" customFormat="1" ht="28.15" customHeight="1">
      <c r="B23" s="247" t="str">
        <f>"BASE "&amp;B6</f>
        <v>BASE NOVO HAMBURGO</v>
      </c>
      <c r="C23" s="248" t="s">
        <v>17</v>
      </c>
      <c r="D23" s="248"/>
      <c r="E23" s="248"/>
      <c r="F23" s="248" t="s">
        <v>18</v>
      </c>
      <c r="G23" s="248"/>
      <c r="H23" s="248"/>
      <c r="I23" s="92" t="s">
        <v>19</v>
      </c>
      <c r="IP23" s="18"/>
    </row>
    <row r="24" spans="2:250" s="17" customFormat="1" ht="22.7" customHeight="1">
      <c r="B24" s="247"/>
      <c r="C24" s="93" t="s">
        <v>20</v>
      </c>
      <c r="D24" s="93" t="s">
        <v>21</v>
      </c>
      <c r="E24" s="93" t="s">
        <v>22</v>
      </c>
      <c r="F24" s="94" t="s">
        <v>20</v>
      </c>
      <c r="G24" s="94" t="s">
        <v>21</v>
      </c>
      <c r="H24" s="94" t="s">
        <v>22</v>
      </c>
      <c r="I24" s="94" t="s">
        <v>23</v>
      </c>
      <c r="IP24" s="18"/>
    </row>
    <row r="25" spans="2:250" ht="17.100000000000001" customHeight="1">
      <c r="B25" s="112" t="str">
        <f>'Base Novo Hamburgo'!B7</f>
        <v>GEX NOVO HAMBURGO</v>
      </c>
      <c r="C25" s="6">
        <f>'Base Novo Hamburgo'!AO7</f>
        <v>911.71229986265791</v>
      </c>
      <c r="D25" s="6">
        <f t="shared" ref="D25" si="8">C25*3</f>
        <v>2735.1368995879739</v>
      </c>
      <c r="E25" s="6">
        <f t="shared" ref="E25" si="9">C25+D25</f>
        <v>3646.8491994506317</v>
      </c>
      <c r="F25" s="6">
        <f t="shared" ref="F25" si="10">C25*12</f>
        <v>10940.547598351895</v>
      </c>
      <c r="G25" s="6">
        <f t="shared" ref="G25" si="11">F25*3</f>
        <v>32821.642795055683</v>
      </c>
      <c r="H25" s="6">
        <f t="shared" ref="H25" si="12">F25+G25</f>
        <v>43762.190393407582</v>
      </c>
      <c r="I25" s="20">
        <f t="shared" ref="I25" si="13">F25/$E$7</f>
        <v>3.0550195368106568E-2</v>
      </c>
    </row>
    <row r="26" spans="2:250" ht="17.100000000000001" customHeight="1">
      <c r="B26" s="112" t="str">
        <f>'Base Novo Hamburgo'!B8</f>
        <v>APS NOVO HAMBURGO</v>
      </c>
      <c r="C26" s="6">
        <f>'Base Novo Hamburgo'!AO8</f>
        <v>619.69354020647484</v>
      </c>
      <c r="D26" s="6">
        <f t="shared" ref="D26:D46" si="14">C26*3</f>
        <v>1859.0806206194245</v>
      </c>
      <c r="E26" s="6">
        <f t="shared" ref="E26:E46" si="15">C26+D26</f>
        <v>2478.7741608258993</v>
      </c>
      <c r="F26" s="6">
        <f t="shared" ref="F26:F46" si="16">C26*12</f>
        <v>7436.322482477698</v>
      </c>
      <c r="G26" s="6">
        <f t="shared" ref="G26:G46" si="17">F26*3</f>
        <v>22308.967447433093</v>
      </c>
      <c r="H26" s="6">
        <f t="shared" ref="H26:H46" si="18">F26+G26</f>
        <v>29745.289929910792</v>
      </c>
      <c r="I26" s="20">
        <f t="shared" ref="I26:I46" si="19">F26/$E$7</f>
        <v>2.0765057929473283E-2</v>
      </c>
    </row>
    <row r="27" spans="2:250" ht="17.100000000000001" customHeight="1">
      <c r="B27" s="112" t="str">
        <f>'Base Novo Hamburgo'!B9</f>
        <v>APS CAMPO BOM</v>
      </c>
      <c r="C27" s="6">
        <f>'Base Novo Hamburgo'!AO9</f>
        <v>727.61680316332468</v>
      </c>
      <c r="D27" s="6">
        <f t="shared" si="14"/>
        <v>2182.850409489974</v>
      </c>
      <c r="E27" s="6">
        <f t="shared" si="15"/>
        <v>2910.4672126532987</v>
      </c>
      <c r="F27" s="6">
        <f t="shared" si="16"/>
        <v>8731.4016379598961</v>
      </c>
      <c r="G27" s="6">
        <f t="shared" si="17"/>
        <v>26194.204913879687</v>
      </c>
      <c r="H27" s="6">
        <f t="shared" si="18"/>
        <v>34925.606551839584</v>
      </c>
      <c r="I27" s="20">
        <f t="shared" si="19"/>
        <v>2.4381414502256143E-2</v>
      </c>
    </row>
    <row r="28" spans="2:250" ht="17.100000000000001" customHeight="1">
      <c r="B28" s="112" t="str">
        <f>'Base Novo Hamburgo'!B10</f>
        <v>DEPÓSITO NOVO HAMBURGO</v>
      </c>
      <c r="C28" s="6">
        <f>'Base Novo Hamburgo'!AO10</f>
        <v>927.87266976131639</v>
      </c>
      <c r="D28" s="6">
        <f t="shared" si="14"/>
        <v>2783.618009283949</v>
      </c>
      <c r="E28" s="6">
        <f t="shared" si="15"/>
        <v>3711.4906790452656</v>
      </c>
      <c r="F28" s="6">
        <f t="shared" si="16"/>
        <v>11134.472037135796</v>
      </c>
      <c r="G28" s="6">
        <f t="shared" si="17"/>
        <v>33403.416111407387</v>
      </c>
      <c r="H28" s="6">
        <f t="shared" si="18"/>
        <v>44537.888148543185</v>
      </c>
      <c r="I28" s="20">
        <f t="shared" si="19"/>
        <v>3.1091706607671129E-2</v>
      </c>
    </row>
    <row r="29" spans="2:250" ht="17.100000000000001" customHeight="1">
      <c r="B29" s="112" t="str">
        <f>'Base Novo Hamburgo'!B11</f>
        <v>APS IGREJINHA</v>
      </c>
      <c r="C29" s="6">
        <f>'Base Novo Hamburgo'!AO11</f>
        <v>729.21870284689055</v>
      </c>
      <c r="D29" s="6">
        <f t="shared" si="14"/>
        <v>2187.6561085406715</v>
      </c>
      <c r="E29" s="6">
        <f t="shared" si="15"/>
        <v>2916.8748113875622</v>
      </c>
      <c r="F29" s="6">
        <f t="shared" si="16"/>
        <v>8750.6244341626862</v>
      </c>
      <c r="G29" s="6">
        <f t="shared" si="17"/>
        <v>26251.873302488057</v>
      </c>
      <c r="H29" s="6">
        <f t="shared" si="18"/>
        <v>35002.497736650745</v>
      </c>
      <c r="I29" s="20">
        <f t="shared" si="19"/>
        <v>2.4435091904985509E-2</v>
      </c>
    </row>
    <row r="30" spans="2:250" ht="17.100000000000001" customHeight="1">
      <c r="B30" s="112" t="str">
        <f>'Base Novo Hamburgo'!B12</f>
        <v>APS TRÊS COROAS</v>
      </c>
      <c r="C30" s="6">
        <f>'Base Novo Hamburgo'!AO12</f>
        <v>721.4861749148082</v>
      </c>
      <c r="D30" s="6">
        <f t="shared" si="14"/>
        <v>2164.4585247444247</v>
      </c>
      <c r="E30" s="6">
        <f t="shared" si="15"/>
        <v>2885.9446996592328</v>
      </c>
      <c r="F30" s="6">
        <f t="shared" si="16"/>
        <v>8657.8340989776989</v>
      </c>
      <c r="G30" s="6">
        <f t="shared" si="17"/>
        <v>25973.502296933097</v>
      </c>
      <c r="H30" s="6">
        <f t="shared" si="18"/>
        <v>34631.336395910796</v>
      </c>
      <c r="I30" s="20">
        <f t="shared" si="19"/>
        <v>2.4175985782308389E-2</v>
      </c>
    </row>
    <row r="31" spans="2:250" ht="17.100000000000001" customHeight="1">
      <c r="B31" s="112" t="str">
        <f>'Base Novo Hamburgo'!B13</f>
        <v>APS DOIS IRMÃOS</v>
      </c>
      <c r="C31" s="6">
        <f>'Base Novo Hamburgo'!AO13</f>
        <v>754.08957179179697</v>
      </c>
      <c r="D31" s="6">
        <f t="shared" si="14"/>
        <v>2262.2687153753909</v>
      </c>
      <c r="E31" s="6">
        <f t="shared" si="15"/>
        <v>3016.3582871671879</v>
      </c>
      <c r="F31" s="6">
        <f t="shared" si="16"/>
        <v>9049.0748615015636</v>
      </c>
      <c r="G31" s="6">
        <f t="shared" si="17"/>
        <v>27147.224584504693</v>
      </c>
      <c r="H31" s="6">
        <f t="shared" si="18"/>
        <v>36196.299446006255</v>
      </c>
      <c r="I31" s="20">
        <f t="shared" si="19"/>
        <v>2.5268479702162235E-2</v>
      </c>
    </row>
    <row r="32" spans="2:250" ht="17.100000000000001" customHeight="1">
      <c r="B32" s="112" t="str">
        <f>'Base Novo Hamburgo'!B14</f>
        <v>APS SAPIRANGA</v>
      </c>
      <c r="C32" s="6">
        <f>'Base Novo Hamburgo'!AO14</f>
        <v>954.34543838978868</v>
      </c>
      <c r="D32" s="6">
        <f t="shared" si="14"/>
        <v>2863.0363151693659</v>
      </c>
      <c r="E32" s="6">
        <f t="shared" si="15"/>
        <v>3817.3817535591547</v>
      </c>
      <c r="F32" s="6">
        <f t="shared" si="16"/>
        <v>11452.145260677464</v>
      </c>
      <c r="G32" s="6">
        <f t="shared" si="17"/>
        <v>34356.435782032393</v>
      </c>
      <c r="H32" s="6">
        <f t="shared" si="18"/>
        <v>45808.581042709855</v>
      </c>
      <c r="I32" s="20">
        <f t="shared" si="19"/>
        <v>3.1978771807577216E-2</v>
      </c>
    </row>
    <row r="33" spans="2:9" ht="17.100000000000001" customHeight="1">
      <c r="B33" s="112" t="str">
        <f>'Base Novo Hamburgo'!B15</f>
        <v>APS PORTÃO</v>
      </c>
      <c r="C33" s="6">
        <f>'Base Novo Hamburgo'!AO15</f>
        <v>660.95306514879303</v>
      </c>
      <c r="D33" s="6">
        <f t="shared" si="14"/>
        <v>1982.8591954463791</v>
      </c>
      <c r="E33" s="6">
        <f t="shared" si="15"/>
        <v>2643.8122605951721</v>
      </c>
      <c r="F33" s="6">
        <f t="shared" si="16"/>
        <v>7931.4367817855164</v>
      </c>
      <c r="G33" s="6">
        <f t="shared" si="17"/>
        <v>23794.310345356549</v>
      </c>
      <c r="H33" s="6">
        <f t="shared" si="18"/>
        <v>31725.747127142065</v>
      </c>
      <c r="I33" s="20">
        <f t="shared" si="19"/>
        <v>2.2147606511929579E-2</v>
      </c>
    </row>
    <row r="34" spans="2:9" ht="17.100000000000001" customHeight="1">
      <c r="B34" s="112" t="str">
        <f>'Base Novo Hamburgo'!B16</f>
        <v>APS SÃO LEOPOLDO</v>
      </c>
      <c r="C34" s="6">
        <f>'Base Novo Hamburgo'!AO16</f>
        <v>966.71415467220322</v>
      </c>
      <c r="D34" s="6">
        <f t="shared" si="14"/>
        <v>2900.1424640166097</v>
      </c>
      <c r="E34" s="6">
        <f t="shared" si="15"/>
        <v>3866.8566186888129</v>
      </c>
      <c r="F34" s="6">
        <f t="shared" si="16"/>
        <v>11600.569856066439</v>
      </c>
      <c r="G34" s="6">
        <f t="shared" si="17"/>
        <v>34801.709568199316</v>
      </c>
      <c r="H34" s="6">
        <f t="shared" si="18"/>
        <v>46402.279424265755</v>
      </c>
      <c r="I34" s="20">
        <f t="shared" si="19"/>
        <v>3.2393230073564601E-2</v>
      </c>
    </row>
    <row r="35" spans="2:9" ht="17.100000000000001" customHeight="1">
      <c r="B35" s="112" t="str">
        <f>'Base Novo Hamburgo'!B17</f>
        <v>APS MONTENEGRO</v>
      </c>
      <c r="C35" s="6">
        <f>'Base Novo Hamburgo'!AO17</f>
        <v>1025.4372464722032</v>
      </c>
      <c r="D35" s="6">
        <f t="shared" si="14"/>
        <v>3076.3117394166097</v>
      </c>
      <c r="E35" s="6">
        <f t="shared" si="15"/>
        <v>4101.748985888813</v>
      </c>
      <c r="F35" s="6">
        <f t="shared" si="16"/>
        <v>12305.246957666439</v>
      </c>
      <c r="G35" s="6">
        <f t="shared" si="17"/>
        <v>36915.740872999319</v>
      </c>
      <c r="H35" s="6">
        <f t="shared" si="18"/>
        <v>49220.987830665756</v>
      </c>
      <c r="I35" s="20">
        <f t="shared" si="19"/>
        <v>3.436095819062468E-2</v>
      </c>
    </row>
    <row r="36" spans="2:9" ht="17.100000000000001" customHeight="1">
      <c r="B36" s="112" t="str">
        <f>'Base Novo Hamburgo'!B18</f>
        <v>APS SÃO SEBASTIÃO DO CAÍ</v>
      </c>
      <c r="C36" s="6">
        <f>'Base Novo Hamburgo'!AO18</f>
        <v>1025.4372464722032</v>
      </c>
      <c r="D36" s="6">
        <f t="shared" si="14"/>
        <v>3076.3117394166097</v>
      </c>
      <c r="E36" s="6">
        <f t="shared" si="15"/>
        <v>4101.748985888813</v>
      </c>
      <c r="F36" s="6">
        <f t="shared" si="16"/>
        <v>12305.246957666439</v>
      </c>
      <c r="G36" s="6">
        <f t="shared" si="17"/>
        <v>36915.740872999319</v>
      </c>
      <c r="H36" s="6">
        <f t="shared" si="18"/>
        <v>49220.987830665756</v>
      </c>
      <c r="I36" s="20">
        <f t="shared" si="19"/>
        <v>3.436095819062468E-2</v>
      </c>
    </row>
    <row r="37" spans="2:9" ht="17.100000000000001" customHeight="1">
      <c r="B37" s="112" t="str">
        <f>'Base Novo Hamburgo'!B19</f>
        <v>APS ESTRELA</v>
      </c>
      <c r="C37" s="6">
        <f>'Base Novo Hamburgo'!AO19</f>
        <v>1109.1961481234932</v>
      </c>
      <c r="D37" s="6">
        <f t="shared" si="14"/>
        <v>3327.5884443704799</v>
      </c>
      <c r="E37" s="6">
        <f t="shared" si="15"/>
        <v>4436.7845924939729</v>
      </c>
      <c r="F37" s="6">
        <f t="shared" si="16"/>
        <v>13310.35377748192</v>
      </c>
      <c r="G37" s="6">
        <f t="shared" si="17"/>
        <v>39931.061332445759</v>
      </c>
      <c r="H37" s="6">
        <f t="shared" si="18"/>
        <v>53241.415109927679</v>
      </c>
      <c r="I37" s="20">
        <f t="shared" si="19"/>
        <v>3.7167601042377804E-2</v>
      </c>
    </row>
    <row r="38" spans="2:9" ht="17.100000000000001" customHeight="1">
      <c r="B38" s="112" t="str">
        <f>'Base Novo Hamburgo'!B20</f>
        <v>APS LAJEADO</v>
      </c>
      <c r="C38" s="6">
        <f>'Base Novo Hamburgo'!AO20</f>
        <v>1127.0151796416001</v>
      </c>
      <c r="D38" s="6">
        <f t="shared" si="14"/>
        <v>3381.0455389248</v>
      </c>
      <c r="E38" s="6">
        <f t="shared" si="15"/>
        <v>4508.0607185664003</v>
      </c>
      <c r="F38" s="6">
        <f t="shared" si="16"/>
        <v>13524.1821556992</v>
      </c>
      <c r="G38" s="6">
        <f t="shared" si="17"/>
        <v>40572.5464670976</v>
      </c>
      <c r="H38" s="6">
        <f t="shared" si="18"/>
        <v>54096.7286227968</v>
      </c>
      <c r="I38" s="20">
        <f t="shared" si="19"/>
        <v>3.7764691697215538E-2</v>
      </c>
    </row>
    <row r="39" spans="2:9" ht="17.100000000000001" customHeight="1">
      <c r="B39" s="112" t="str">
        <f>'Base Novo Hamburgo'!B21</f>
        <v>APS Encantado</v>
      </c>
      <c r="C39" s="6">
        <f>'Base Novo Hamburgo'!AO21</f>
        <v>1318.3180362778137</v>
      </c>
      <c r="D39" s="6">
        <f t="shared" si="14"/>
        <v>3954.9541088334408</v>
      </c>
      <c r="E39" s="6">
        <f t="shared" si="15"/>
        <v>5273.2721451112548</v>
      </c>
      <c r="F39" s="6">
        <f t="shared" si="16"/>
        <v>15819.816435333763</v>
      </c>
      <c r="G39" s="6">
        <f t="shared" si="17"/>
        <v>47459.44930600129</v>
      </c>
      <c r="H39" s="6">
        <f t="shared" si="18"/>
        <v>63279.265741335053</v>
      </c>
      <c r="I39" s="20">
        <f t="shared" si="19"/>
        <v>4.4174981045723406E-2</v>
      </c>
    </row>
    <row r="40" spans="2:9" ht="17.100000000000001" customHeight="1">
      <c r="B40" s="112" t="str">
        <f>'Base Novo Hamburgo'!B22</f>
        <v>APS TEUTÔNIA</v>
      </c>
      <c r="C40" s="6">
        <f>'Base Novo Hamburgo'!AO22</f>
        <v>896.42546867605699</v>
      </c>
      <c r="D40" s="6">
        <f t="shared" si="14"/>
        <v>2689.2764060281711</v>
      </c>
      <c r="E40" s="6">
        <f t="shared" si="15"/>
        <v>3585.701874704228</v>
      </c>
      <c r="F40" s="6">
        <f t="shared" si="16"/>
        <v>10757.105624112684</v>
      </c>
      <c r="G40" s="6">
        <f t="shared" si="17"/>
        <v>32271.316872338051</v>
      </c>
      <c r="H40" s="6">
        <f t="shared" si="18"/>
        <v>43028.422496450738</v>
      </c>
      <c r="I40" s="20">
        <f t="shared" si="19"/>
        <v>3.0037955180735758E-2</v>
      </c>
    </row>
    <row r="41" spans="2:9" ht="17.100000000000001" customHeight="1">
      <c r="B41" s="112" t="str">
        <f>'Base Novo Hamburgo'!B23</f>
        <v>APS TAQUARA</v>
      </c>
      <c r="C41" s="6">
        <f>'Base Novo Hamburgo'!AO23</f>
        <v>1081.2571482722033</v>
      </c>
      <c r="D41" s="6">
        <f t="shared" si="14"/>
        <v>3243.7714448166098</v>
      </c>
      <c r="E41" s="6">
        <f t="shared" si="15"/>
        <v>4325.0285930888131</v>
      </c>
      <c r="F41" s="6">
        <f t="shared" si="16"/>
        <v>12975.085779266439</v>
      </c>
      <c r="G41" s="6">
        <f t="shared" si="17"/>
        <v>38925.257337799318</v>
      </c>
      <c r="H41" s="6">
        <f t="shared" si="18"/>
        <v>51900.343117065757</v>
      </c>
      <c r="I41" s="20">
        <f t="shared" si="19"/>
        <v>3.6231404498824553E-2</v>
      </c>
    </row>
    <row r="42" spans="2:9" ht="17.100000000000001" customHeight="1">
      <c r="B42" s="112" t="str">
        <f>'Base Novo Hamburgo'!B24</f>
        <v>APS SANTO ANTÔNIO DA PATRULHA</v>
      </c>
      <c r="C42" s="6">
        <f>'Base Novo Hamburgo'!AO24</f>
        <v>787.4331104120588</v>
      </c>
      <c r="D42" s="6">
        <f t="shared" si="14"/>
        <v>2362.2993312361764</v>
      </c>
      <c r="E42" s="6">
        <f t="shared" si="15"/>
        <v>3149.7324416482352</v>
      </c>
      <c r="F42" s="6">
        <f t="shared" si="16"/>
        <v>9449.1973249447055</v>
      </c>
      <c r="G42" s="6">
        <f t="shared" si="17"/>
        <v>28347.591974834118</v>
      </c>
      <c r="H42" s="6">
        <f t="shared" si="18"/>
        <v>37796.789299778822</v>
      </c>
      <c r="I42" s="20">
        <f t="shared" si="19"/>
        <v>2.6385774729624799E-2</v>
      </c>
    </row>
    <row r="43" spans="2:9" ht="17.100000000000001" customHeight="1">
      <c r="B43" s="112" t="str">
        <f>'Base Novo Hamburgo'!B25</f>
        <v>APS OSÓRIO</v>
      </c>
      <c r="C43" s="6">
        <f>'Base Novo Hamburgo'!AO25</f>
        <v>1422.61744931673</v>
      </c>
      <c r="D43" s="6">
        <f t="shared" si="14"/>
        <v>4267.8523479501901</v>
      </c>
      <c r="E43" s="6">
        <f t="shared" si="15"/>
        <v>5690.4697972669201</v>
      </c>
      <c r="F43" s="6">
        <f t="shared" si="16"/>
        <v>17071.40939180076</v>
      </c>
      <c r="G43" s="6">
        <f t="shared" si="17"/>
        <v>51214.228175402284</v>
      </c>
      <c r="H43" s="6">
        <f t="shared" si="18"/>
        <v>68285.637567203041</v>
      </c>
      <c r="I43" s="20">
        <f t="shared" si="19"/>
        <v>4.7669907510571735E-2</v>
      </c>
    </row>
    <row r="44" spans="2:9" ht="17.100000000000001" customHeight="1">
      <c r="B44" s="112" t="str">
        <f>'Base Novo Hamburgo'!B26</f>
        <v>APS BUTIÁ</v>
      </c>
      <c r="C44" s="6">
        <f>'Base Novo Hamburgo'!AO26</f>
        <v>943.04540254407311</v>
      </c>
      <c r="D44" s="6">
        <f t="shared" si="14"/>
        <v>2829.1362076322193</v>
      </c>
      <c r="E44" s="6">
        <f t="shared" si="15"/>
        <v>3772.1816101762925</v>
      </c>
      <c r="F44" s="6">
        <f t="shared" si="16"/>
        <v>11316.544830528877</v>
      </c>
      <c r="G44" s="6">
        <f t="shared" si="17"/>
        <v>33949.634491586636</v>
      </c>
      <c r="H44" s="6">
        <f t="shared" si="18"/>
        <v>45266.179322115509</v>
      </c>
      <c r="I44" s="20">
        <f t="shared" si="19"/>
        <v>3.1600123518193364E-2</v>
      </c>
    </row>
    <row r="45" spans="2:9" ht="17.100000000000001" customHeight="1">
      <c r="B45" s="112" t="str">
        <f>'Base Novo Hamburgo'!B27</f>
        <v>APS SÃO JERÔNIMO</v>
      </c>
      <c r="C45" s="6">
        <f>'Base Novo Hamburgo'!AO27</f>
        <v>1145.4475113513699</v>
      </c>
      <c r="D45" s="6">
        <f t="shared" si="14"/>
        <v>3436.3425340541098</v>
      </c>
      <c r="E45" s="6">
        <f t="shared" si="15"/>
        <v>4581.7900454054798</v>
      </c>
      <c r="F45" s="6">
        <f t="shared" si="16"/>
        <v>13745.370136216439</v>
      </c>
      <c r="G45" s="6">
        <f t="shared" si="17"/>
        <v>41236.110408649314</v>
      </c>
      <c r="H45" s="6">
        <f t="shared" si="18"/>
        <v>54981.480544865757</v>
      </c>
      <c r="I45" s="20">
        <f t="shared" si="19"/>
        <v>3.8382333177875663E-2</v>
      </c>
    </row>
    <row r="46" spans="2:9" ht="17.100000000000001" customHeight="1">
      <c r="B46" s="112" t="str">
        <f>'Base Novo Hamburgo'!B28</f>
        <v>APS TAQUARI</v>
      </c>
      <c r="C46" s="6">
        <f>'Base Novo Hamburgo'!AO28</f>
        <v>1041.0543837244359</v>
      </c>
      <c r="D46" s="6">
        <f t="shared" si="14"/>
        <v>3123.1631511733076</v>
      </c>
      <c r="E46" s="6">
        <f t="shared" si="15"/>
        <v>4164.2175348977435</v>
      </c>
      <c r="F46" s="6">
        <f t="shared" si="16"/>
        <v>12492.65260469323</v>
      </c>
      <c r="G46" s="6">
        <f t="shared" si="17"/>
        <v>37477.957814079695</v>
      </c>
      <c r="H46" s="6">
        <f t="shared" si="18"/>
        <v>49970.610418772922</v>
      </c>
      <c r="I46" s="20">
        <f t="shared" si="19"/>
        <v>3.4884266469144241E-2</v>
      </c>
    </row>
    <row r="47" spans="2:9" ht="22.7" customHeight="1">
      <c r="B47" s="21" t="str">
        <f>"Total Base "&amp;B6</f>
        <v>Total Base NOVO HAMBURGO</v>
      </c>
      <c r="C47" s="21">
        <f t="shared" ref="C47:I47" si="20">SUM(C25:C46)</f>
        <v>20896.386752042297</v>
      </c>
      <c r="D47" s="21">
        <f t="shared" si="20"/>
        <v>62689.160256126881</v>
      </c>
      <c r="E47" s="21">
        <f t="shared" si="20"/>
        <v>83585.547008169189</v>
      </c>
      <c r="F47" s="21">
        <f t="shared" si="20"/>
        <v>250756.64102450752</v>
      </c>
      <c r="G47" s="21">
        <f t="shared" si="20"/>
        <v>752269.92307352263</v>
      </c>
      <c r="H47" s="21">
        <f t="shared" si="20"/>
        <v>1003026.5640980301</v>
      </c>
      <c r="I47" s="22">
        <f t="shared" si="20"/>
        <v>0.70020849544157093</v>
      </c>
    </row>
    <row r="48" spans="2:9" ht="22.7" customHeight="1">
      <c r="B48" s="19"/>
      <c r="C48" s="23"/>
      <c r="D48" s="23"/>
      <c r="E48" s="23"/>
      <c r="F48" s="23"/>
      <c r="G48" s="23"/>
      <c r="H48" s="23"/>
      <c r="I48" s="24"/>
    </row>
  </sheetData>
  <mergeCells count="7">
    <mergeCell ref="B2:I2"/>
    <mergeCell ref="B9:B10"/>
    <mergeCell ref="C9:E9"/>
    <mergeCell ref="F9:H9"/>
    <mergeCell ref="B23:B24"/>
    <mergeCell ref="C23:E23"/>
    <mergeCell ref="F23:H23"/>
  </mergeCells>
  <printOptions horizontalCentered="1"/>
  <pageMargins left="0.15069444444444399" right="7.2916666666666699E-2" top="0.13750000000000001" bottom="8.2638888888888901E-2" header="0.51180555555555496" footer="0.51180555555555496"/>
  <pageSetup paperSize="9" pageOrder="overThenDown" orientation="portrait" useFirstPageNumber="1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FF"/>
  </sheetPr>
  <dimension ref="B1:IW65527"/>
  <sheetViews>
    <sheetView showGridLines="0" zoomScale="110" zoomScaleNormal="110" workbookViewId="0">
      <selection activeCell="C7" sqref="C7"/>
    </sheetView>
  </sheetViews>
  <sheetFormatPr defaultRowHeight="14.25"/>
  <cols>
    <col min="1" max="1" width="5.625" customWidth="1"/>
    <col min="2" max="2" width="21.625" customWidth="1"/>
    <col min="3" max="5" width="14.625" style="5" customWidth="1"/>
    <col min="6" max="6" width="13.5" style="5" customWidth="1"/>
    <col min="7" max="7" width="12.5" style="5" customWidth="1"/>
    <col min="8" max="257" width="10.625" style="5" customWidth="1"/>
    <col min="258" max="1025" width="10.5" customWidth="1"/>
  </cols>
  <sheetData>
    <row r="1" spans="2:5" ht="15" customHeight="1"/>
    <row r="2" spans="2:5" ht="24.95" customHeight="1">
      <c r="B2" s="249" t="str">
        <f>"CÁLCULO DO CUSTO DA EQUIPE TÉCNICA PARA O "&amp;'Valor da Contratação'!B7&amp;""</f>
        <v>CÁLCULO DO CUSTO DA EQUIPE TÉCNICA PARA O POLO VIII</v>
      </c>
      <c r="C2" s="250"/>
      <c r="D2" s="250"/>
      <c r="E2" s="251"/>
    </row>
    <row r="3" spans="2:5" ht="15" customHeight="1">
      <c r="B3" s="1"/>
      <c r="C3" s="1"/>
      <c r="D3" s="1"/>
      <c r="E3" s="1"/>
    </row>
    <row r="4" spans="2:5" ht="45.75" customHeight="1">
      <c r="B4" s="252" t="s">
        <v>24</v>
      </c>
      <c r="C4" s="104" t="s">
        <v>25</v>
      </c>
      <c r="D4" s="104" t="s">
        <v>26</v>
      </c>
      <c r="E4" s="104" t="s">
        <v>27</v>
      </c>
    </row>
    <row r="5" spans="2:5" ht="20.100000000000001" customHeight="1">
      <c r="B5" s="252"/>
      <c r="C5" s="82">
        <v>118.06</v>
      </c>
      <c r="D5" s="82">
        <f>'Comp. Eng. Eletricista'!D11</f>
        <v>125.45312499999999</v>
      </c>
      <c r="E5" s="82">
        <v>31.37</v>
      </c>
    </row>
    <row r="6" spans="2:5" ht="20.100000000000001" customHeight="1">
      <c r="B6" s="83" t="s">
        <v>28</v>
      </c>
      <c r="C6" s="40">
        <v>80</v>
      </c>
      <c r="D6" s="40">
        <v>16</v>
      </c>
      <c r="E6" s="40">
        <v>80</v>
      </c>
    </row>
    <row r="7" spans="2:5" ht="20.100000000000001" customHeight="1">
      <c r="B7" s="83" t="s">
        <v>29</v>
      </c>
      <c r="C7" s="82">
        <f>C5*C6</f>
        <v>9444.7999999999993</v>
      </c>
      <c r="D7" s="82">
        <f>D5*D6</f>
        <v>2007.2499999999998</v>
      </c>
      <c r="E7" s="82">
        <f>E5*E6</f>
        <v>2509.6</v>
      </c>
    </row>
    <row r="8" spans="2:5" ht="20.100000000000001" customHeight="1">
      <c r="B8" s="83" t="s">
        <v>30</v>
      </c>
      <c r="C8" s="82">
        <f>C5*C6*12</f>
        <v>113337.59999999999</v>
      </c>
      <c r="D8" s="82">
        <f>D5*D6*12</f>
        <v>24086.999999999996</v>
      </c>
      <c r="E8" s="82">
        <f>E5*E6*12</f>
        <v>30115.199999999997</v>
      </c>
    </row>
    <row r="9" spans="2:5" ht="20.100000000000001" customHeight="1">
      <c r="B9" s="25" t="s">
        <v>260</v>
      </c>
      <c r="C9" s="26"/>
      <c r="D9" s="26"/>
      <c r="E9" s="26"/>
    </row>
    <row r="10" spans="2:5" ht="20.100000000000001" customHeight="1">
      <c r="C10" s="26"/>
      <c r="D10" s="26"/>
      <c r="E10" s="26"/>
    </row>
    <row r="11" spans="2:5" ht="20.100000000000001" customHeight="1">
      <c r="B11" s="253" t="s">
        <v>31</v>
      </c>
      <c r="C11" s="254"/>
      <c r="E11" s="26"/>
    </row>
    <row r="12" spans="2:5" ht="20.100000000000001" customHeight="1">
      <c r="B12" s="83" t="s">
        <v>32</v>
      </c>
      <c r="C12" s="82">
        <f>SUM(C7:E7)</f>
        <v>13961.65</v>
      </c>
      <c r="E12" s="26"/>
    </row>
    <row r="13" spans="2:5" ht="20.100000000000001" customHeight="1">
      <c r="B13" s="83" t="s">
        <v>33</v>
      </c>
      <c r="C13" s="82">
        <f>SUM(C8:E8)</f>
        <v>167539.79999999999</v>
      </c>
    </row>
    <row r="65527" ht="12.75" customHeight="1"/>
  </sheetData>
  <mergeCells count="3">
    <mergeCell ref="B2:E2"/>
    <mergeCell ref="B4:B5"/>
    <mergeCell ref="B11:C11"/>
  </mergeCells>
  <printOptions horizontalCentered="1"/>
  <pageMargins left="0.78749999999999998" right="0.78749999999999998" top="0.47777777777777802" bottom="0.196527777777778" header="0.51180555555555496" footer="0.51180555555555496"/>
  <pageSetup paperSize="9" pageOrder="overThenDown" orientation="portrait" useFirstPageNumber="1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9FF66"/>
  </sheetPr>
  <dimension ref="B1:IV22"/>
  <sheetViews>
    <sheetView showGridLines="0" zoomScale="110" zoomScaleNormal="110" workbookViewId="0">
      <selection activeCell="W21" sqref="W21"/>
    </sheetView>
  </sheetViews>
  <sheetFormatPr defaultRowHeight="14.25"/>
  <cols>
    <col min="1" max="1" width="5.625" customWidth="1"/>
    <col min="2" max="2" width="33.625" style="7" customWidth="1"/>
    <col min="3" max="15" width="12.625" style="7" customWidth="1"/>
    <col min="16" max="16" width="8.375" style="7" customWidth="1"/>
    <col min="17" max="17" width="33" style="7" bestFit="1" customWidth="1"/>
    <col min="18" max="33" width="11.5" style="7"/>
    <col min="34" max="34" width="11" style="7" customWidth="1"/>
    <col min="35" max="35" width="33" style="7" bestFit="1" customWidth="1"/>
    <col min="36" max="36" width="10.625" style="7" customWidth="1"/>
    <col min="37" max="40" width="11.75" style="7" bestFit="1" customWidth="1"/>
    <col min="41" max="42" width="11.375" style="7" customWidth="1"/>
    <col min="43" max="43" width="12.875" style="7" customWidth="1"/>
    <col min="44" max="44" width="3.375" style="7" customWidth="1"/>
    <col min="45" max="45" width="28.125" style="7" bestFit="1" customWidth="1"/>
    <col min="46" max="46" width="12.75" style="7" customWidth="1"/>
    <col min="47" max="49" width="11.75" style="7" customWidth="1"/>
    <col min="50" max="256" width="10.625" style="7" customWidth="1"/>
    <col min="257" max="1012" width="10.5" customWidth="1"/>
  </cols>
  <sheetData>
    <row r="1" spans="2:49" ht="15" customHeight="1"/>
    <row r="2" spans="2:49" s="28" customFormat="1" ht="24.95" customHeight="1">
      <c r="B2" s="255" t="str">
        <f>"BASE "&amp;Resumo!B5&amp;" - PLANILHA DE FORMAÇÃO DE PREÇOS"</f>
        <v>BASE CAXIAS DO SUL - PLANILHA DE FORMAÇÃO DE PREÇOS</v>
      </c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7"/>
      <c r="P2" s="2"/>
      <c r="Q2" s="249" t="str">
        <f>"BASE "&amp;Resumo!B5&amp;" – PLANILHA DE DISTRIBUIÇÃO DE CUSTOS POR UNIDADE"</f>
        <v>BASE CAXIAS DO SUL – PLANILHA DE DISTRIBUIÇÃO DE CUSTOS POR UNIDADE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1"/>
      <c r="AH2" s="27"/>
      <c r="AI2" s="261" t="str">
        <f>"BASE "&amp;Resumo!B5&amp;" – PLANILHA RESUMO DE CUSTOS DA BASE"</f>
        <v>BASE CAXIAS DO SUL – PLANILHA RESUMO DE CUSTOS DA BASE</v>
      </c>
      <c r="AJ2" s="262"/>
      <c r="AK2" s="262"/>
      <c r="AL2" s="262"/>
      <c r="AM2" s="262"/>
      <c r="AN2" s="262"/>
      <c r="AO2" s="262"/>
      <c r="AP2" s="262"/>
      <c r="AQ2" s="262"/>
      <c r="AR2" s="262"/>
      <c r="AS2" s="262"/>
      <c r="AT2" s="262"/>
      <c r="AU2" s="262"/>
      <c r="AV2" s="262"/>
      <c r="AW2" s="263"/>
    </row>
    <row r="3" spans="2:49" ht="15" customHeight="1"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</row>
    <row r="4" spans="2:49" s="18" customFormat="1" ht="19.899999999999999" customHeight="1">
      <c r="B4" s="264" t="s">
        <v>34</v>
      </c>
      <c r="C4" s="264" t="s">
        <v>35</v>
      </c>
      <c r="D4" s="264"/>
      <c r="E4" s="264"/>
      <c r="F4" s="264"/>
      <c r="G4" s="264"/>
      <c r="H4" s="264" t="s">
        <v>36</v>
      </c>
      <c r="I4" s="264"/>
      <c r="J4" s="264"/>
      <c r="K4" s="264"/>
      <c r="L4" s="264"/>
      <c r="M4" s="264"/>
      <c r="N4" s="264"/>
      <c r="O4" s="264" t="s">
        <v>22</v>
      </c>
      <c r="P4" s="2"/>
      <c r="Q4" s="264" t="s">
        <v>37</v>
      </c>
      <c r="R4" s="265" t="s">
        <v>38</v>
      </c>
      <c r="S4" s="265"/>
      <c r="T4" s="265"/>
      <c r="U4" s="265"/>
      <c r="V4" s="265" t="s">
        <v>39</v>
      </c>
      <c r="W4" s="265"/>
      <c r="X4" s="265"/>
      <c r="Y4" s="265"/>
      <c r="Z4" s="265" t="s">
        <v>40</v>
      </c>
      <c r="AA4" s="265"/>
      <c r="AB4" s="265"/>
      <c r="AC4" s="265"/>
      <c r="AD4" s="265" t="s">
        <v>41</v>
      </c>
      <c r="AE4" s="265"/>
      <c r="AF4" s="265"/>
      <c r="AG4" s="265"/>
      <c r="AI4" s="264" t="s">
        <v>37</v>
      </c>
      <c r="AJ4" s="266" t="s">
        <v>42</v>
      </c>
      <c r="AK4" s="266"/>
      <c r="AL4" s="266"/>
      <c r="AM4" s="266"/>
      <c r="AN4" s="266"/>
      <c r="AO4" s="266" t="s">
        <v>43</v>
      </c>
      <c r="AP4" s="266"/>
      <c r="AQ4" s="266"/>
      <c r="AR4" s="29"/>
      <c r="AS4" s="266" t="str">
        <f>"Resumo de Custos da Base "&amp;Resumo!B5</f>
        <v>Resumo de Custos da Base CAXIAS DO SUL</v>
      </c>
      <c r="AT4" s="266"/>
      <c r="AU4" s="266"/>
      <c r="AV4" s="266"/>
      <c r="AW4" s="266"/>
    </row>
    <row r="5" spans="2:49" ht="39.950000000000003" customHeight="1">
      <c r="B5" s="264"/>
      <c r="C5" s="99" t="s">
        <v>22</v>
      </c>
      <c r="D5" s="99" t="s">
        <v>44</v>
      </c>
      <c r="E5" s="99" t="s">
        <v>45</v>
      </c>
      <c r="F5" s="99" t="s">
        <v>46</v>
      </c>
      <c r="G5" s="264" t="s">
        <v>47</v>
      </c>
      <c r="H5" s="99" t="s">
        <v>48</v>
      </c>
      <c r="I5" s="99" t="s">
        <v>49</v>
      </c>
      <c r="J5" s="99" t="s">
        <v>50</v>
      </c>
      <c r="K5" s="99" t="s">
        <v>51</v>
      </c>
      <c r="L5" s="99" t="s">
        <v>52</v>
      </c>
      <c r="M5" s="99" t="s">
        <v>53</v>
      </c>
      <c r="N5" s="264" t="s">
        <v>54</v>
      </c>
      <c r="O5" s="264"/>
      <c r="P5" s="2"/>
      <c r="Q5" s="264"/>
      <c r="R5" s="99" t="s">
        <v>55</v>
      </c>
      <c r="S5" s="99" t="s">
        <v>56</v>
      </c>
      <c r="T5" s="99" t="s">
        <v>57</v>
      </c>
      <c r="U5" s="99" t="s">
        <v>58</v>
      </c>
      <c r="V5" s="264" t="s">
        <v>59</v>
      </c>
      <c r="W5" s="264" t="s">
        <v>60</v>
      </c>
      <c r="X5" s="264" t="s">
        <v>61</v>
      </c>
      <c r="Y5" s="264" t="s">
        <v>62</v>
      </c>
      <c r="Z5" s="258" t="s">
        <v>63</v>
      </c>
      <c r="AA5" s="259"/>
      <c r="AB5" s="260"/>
      <c r="AC5" s="99">
        <f>N17+'Base Novo Hamburgo'!N29</f>
        <v>1229.6500000000001</v>
      </c>
      <c r="AD5" s="265" t="s">
        <v>55</v>
      </c>
      <c r="AE5" s="265" t="s">
        <v>56</v>
      </c>
      <c r="AF5" s="265" t="s">
        <v>57</v>
      </c>
      <c r="AG5" s="265" t="s">
        <v>58</v>
      </c>
      <c r="AI5" s="264"/>
      <c r="AJ5" s="265" t="s">
        <v>64</v>
      </c>
      <c r="AK5" s="265" t="s">
        <v>55</v>
      </c>
      <c r="AL5" s="265" t="s">
        <v>56</v>
      </c>
      <c r="AM5" s="265" t="s">
        <v>57</v>
      </c>
      <c r="AN5" s="265" t="s">
        <v>58</v>
      </c>
      <c r="AO5" s="265" t="s">
        <v>65</v>
      </c>
      <c r="AP5" s="265" t="s">
        <v>66</v>
      </c>
      <c r="AQ5" s="265" t="s">
        <v>67</v>
      </c>
      <c r="AR5" s="27"/>
      <c r="AS5" s="265" t="s">
        <v>68</v>
      </c>
      <c r="AT5" s="105" t="s">
        <v>55</v>
      </c>
      <c r="AU5" s="105" t="s">
        <v>56</v>
      </c>
      <c r="AV5" s="105" t="s">
        <v>57</v>
      </c>
      <c r="AW5" s="105" t="s">
        <v>58</v>
      </c>
    </row>
    <row r="6" spans="2:49" ht="19.899999999999999" customHeight="1">
      <c r="B6" s="264"/>
      <c r="C6" s="100" t="s">
        <v>69</v>
      </c>
      <c r="D6" s="100">
        <v>1</v>
      </c>
      <c r="E6" s="100">
        <v>0.35</v>
      </c>
      <c r="F6" s="100">
        <v>0.1</v>
      </c>
      <c r="G6" s="264"/>
      <c r="H6" s="100">
        <v>1</v>
      </c>
      <c r="I6" s="100">
        <v>1.2</v>
      </c>
      <c r="J6" s="100">
        <v>2</v>
      </c>
      <c r="K6" s="100">
        <v>4</v>
      </c>
      <c r="L6" s="100">
        <v>1.1000000000000001</v>
      </c>
      <c r="M6" s="100">
        <v>1.1000000000000001</v>
      </c>
      <c r="N6" s="264"/>
      <c r="O6" s="264"/>
      <c r="P6" s="30"/>
      <c r="Q6" s="264"/>
      <c r="R6" s="100" t="s">
        <v>70</v>
      </c>
      <c r="S6" s="100" t="s">
        <v>71</v>
      </c>
      <c r="T6" s="100" t="s">
        <v>72</v>
      </c>
      <c r="U6" s="100" t="s">
        <v>73</v>
      </c>
      <c r="V6" s="264"/>
      <c r="W6" s="264"/>
      <c r="X6" s="264"/>
      <c r="Y6" s="264"/>
      <c r="Z6" s="94" t="s">
        <v>55</v>
      </c>
      <c r="AA6" s="94" t="s">
        <v>56</v>
      </c>
      <c r="AB6" s="94" t="s">
        <v>57</v>
      </c>
      <c r="AC6" s="94" t="s">
        <v>58</v>
      </c>
      <c r="AD6" s="265"/>
      <c r="AE6" s="265"/>
      <c r="AF6" s="265"/>
      <c r="AG6" s="265"/>
      <c r="AI6" s="264"/>
      <c r="AJ6" s="265"/>
      <c r="AK6" s="265"/>
      <c r="AL6" s="265"/>
      <c r="AM6" s="265"/>
      <c r="AN6" s="265"/>
      <c r="AO6" s="265"/>
      <c r="AP6" s="265"/>
      <c r="AQ6" s="265"/>
      <c r="AR6" s="31"/>
      <c r="AS6" s="265"/>
      <c r="AT6" s="94" t="s">
        <v>70</v>
      </c>
      <c r="AU6" s="94" t="s">
        <v>71</v>
      </c>
      <c r="AV6" s="94" t="s">
        <v>72</v>
      </c>
      <c r="AW6" s="94" t="s">
        <v>73</v>
      </c>
    </row>
    <row r="7" spans="2:49" s="5" customFormat="1" ht="15" customHeight="1">
      <c r="B7" s="68" t="s">
        <v>206</v>
      </c>
      <c r="C7" s="69">
        <f>VLOOKUP($B7,Unidades!$D$5:$N$32,6,FALSE())</f>
        <v>2811.03</v>
      </c>
      <c r="D7" s="69">
        <f>VLOOKUP($B7,Unidades!$D$5:$N$32,7,FALSE())</f>
        <v>2471.36</v>
      </c>
      <c r="E7" s="69">
        <f>VLOOKUP($B7,Unidades!$D$5:$N$32,8,FALSE())</f>
        <v>339.67</v>
      </c>
      <c r="F7" s="69">
        <f>VLOOKUP($B7,Unidades!$D$5:$N$32,9,FALSE())</f>
        <v>0</v>
      </c>
      <c r="G7" s="69">
        <f t="shared" ref="G7:G16" si="0">D7+E7*$E$6+F7*$F$6</f>
        <v>2590.2445000000002</v>
      </c>
      <c r="H7" s="70">
        <f t="shared" ref="H7:H16" si="1">IF(G7&lt;750,1.5,IF(G7&lt;2000,2,3))</f>
        <v>3</v>
      </c>
      <c r="I7" s="70">
        <f t="shared" ref="I7:I16" si="2">$I$6*H7</f>
        <v>3.5999999999999996</v>
      </c>
      <c r="J7" s="70" t="str">
        <f>VLOOKUP($B7,Unidades!$D$5:$N$32,10,FALSE())</f>
        <v>SIM</v>
      </c>
      <c r="K7" s="70" t="str">
        <f>VLOOKUP($B7,Unidades!$D$5:$N$36,11,FALSE())</f>
        <v>SIM</v>
      </c>
      <c r="L7" s="70">
        <f t="shared" ref="L7:L16" si="3">$L$6*H7+(IF(J7="SIM",$J$6,0))</f>
        <v>5.3000000000000007</v>
      </c>
      <c r="M7" s="70">
        <f t="shared" ref="M7:M16" si="4">$M$6*H7+(IF(J7="SIM",$J$6,0))+(IF(K7="SIM",$K$6,0))</f>
        <v>9.3000000000000007</v>
      </c>
      <c r="N7" s="70">
        <f t="shared" ref="N7:N16" si="5">H7*12+I7*4+L7*2+M7</f>
        <v>70.3</v>
      </c>
      <c r="O7" s="71">
        <f t="shared" ref="O7:O16" si="6">IF(K7="não", N7*(C$20+D$20),N7*(C$20+D$20)+(M7*+E$20))</f>
        <v>3873.1610000000001</v>
      </c>
      <c r="P7" s="32"/>
      <c r="Q7" s="73" t="str">
        <f t="shared" ref="Q7:Q16" si="7">B7</f>
        <v>GEX/APS CAXIAS DO SUL</v>
      </c>
      <c r="R7" s="6">
        <f t="shared" ref="R7:R16" si="8">H7*($C$20+$D$20)</f>
        <v>151.62</v>
      </c>
      <c r="S7" s="6">
        <f t="shared" ref="S7:S16" si="9">I7*($C$20+$D$20)</f>
        <v>181.94399999999999</v>
      </c>
      <c r="T7" s="6">
        <f t="shared" ref="T7:T16" si="10">L7*($C$20+$D$20)</f>
        <v>267.86200000000002</v>
      </c>
      <c r="U7" s="6">
        <f t="shared" ref="U7:U16" si="11">IF(K7="não",M7*($C$20+$D$20),M7*(C$20+D$20+E$20))</f>
        <v>790.221</v>
      </c>
      <c r="V7" s="6">
        <f>VLOOKUP(Q7,'Desl. Base Caxias do Sul'!$C$5:$S$14,13,FALSE())*($C$20+$D$20+$E$20*(VLOOKUP(Q7,'Desl. Base Caxias do Sul'!$C$5:$S$14,17,FALSE())/12))</f>
        <v>0</v>
      </c>
      <c r="W7" s="6">
        <f>VLOOKUP(Q7,'Desl. Base Caxias do Sul'!$C$5:$S$14,15,FALSE())*(2+(VLOOKUP(Q7,'Desl. Base Caxias do Sul'!$C$5:$S$14,17,FALSE())/12))</f>
        <v>0</v>
      </c>
      <c r="X7" s="6">
        <f>VLOOKUP(Q7,'Desl. Base Caxias do Sul'!$C$5:$Q$14,14,FALSE())</f>
        <v>0</v>
      </c>
      <c r="Y7" s="6">
        <f>VLOOKUP(Q7,'Desl. Base Caxias do Sul'!$C$5:$Q$14,13,FALSE())*'Desl. Base Caxias do Sul'!$E$19+'Desl. Base Caxias do Sul'!$E$20*N7/12</f>
        <v>40.715416666666663</v>
      </c>
      <c r="Z7" s="6">
        <f>(H7/$AC$5)*'Equipe Técnica'!$C$13</f>
        <v>408.74996950351721</v>
      </c>
      <c r="AA7" s="6">
        <f>(I7/$AC$5)*'Equipe Técnica'!$C$13</f>
        <v>490.49996340422058</v>
      </c>
      <c r="AB7" s="6">
        <f>(L7/$AC$5)*'Equipe Técnica'!$C$13</f>
        <v>722.12494612288049</v>
      </c>
      <c r="AC7" s="6">
        <f>(M7/$AC$5)*'Equipe Técnica'!$C$13</f>
        <v>1267.1249054609034</v>
      </c>
      <c r="AD7" s="6">
        <f t="shared" ref="AD7:AD16" si="12">R7+(($V7+$W7+$X7+$Y7)*12/19)+$Z7</f>
        <v>586.08496950351719</v>
      </c>
      <c r="AE7" s="6">
        <f t="shared" ref="AE7:AE16" si="13">S7+(($V7+$W7+$X7+$Y7)*12/19)+$AA7</f>
        <v>698.15896340422057</v>
      </c>
      <c r="AF7" s="6">
        <f t="shared" ref="AF7:AF16" si="14">T7+(($V7+$W7+$X7+$Y7)*12/19)+$AB7</f>
        <v>1015.7019461228805</v>
      </c>
      <c r="AG7" s="6">
        <f t="shared" ref="AG7:AG16" si="15">U7+(($V7+$W7+$X7+$Y7)*12/19)+$AC7</f>
        <v>2083.0609054609035</v>
      </c>
      <c r="AI7" s="73" t="str">
        <f t="shared" ref="AI7:AI16" si="16">B7</f>
        <v>GEX/APS CAXIAS DO SUL</v>
      </c>
      <c r="AJ7" s="84">
        <f>VLOOKUP(AI7,Unidades!D$5:H$32,5,)</f>
        <v>0.2487</v>
      </c>
      <c r="AK7" s="82">
        <f t="shared" ref="AK7:AK16" si="17">AD7*(1+$AJ7)</f>
        <v>731.84430141904181</v>
      </c>
      <c r="AL7" s="82">
        <f t="shared" ref="AL7:AL16" si="18">AE7*(1+$AJ7)</f>
        <v>871.79109760285019</v>
      </c>
      <c r="AM7" s="82">
        <f t="shared" ref="AM7:AM16" si="19">AF7*(1+$AJ7)</f>
        <v>1268.3070201236408</v>
      </c>
      <c r="AN7" s="82">
        <f t="shared" ref="AN7:AN16" si="20">AG7*(1+$AJ7)</f>
        <v>2601.11815264903</v>
      </c>
      <c r="AO7" s="82">
        <f t="shared" ref="AO7:AO16" si="21">((AK7*12)+(AL7*4)+(AM7*2)+AN7)/12</f>
        <v>1450.5856833613514</v>
      </c>
      <c r="AP7" s="82">
        <f t="shared" ref="AP7:AP16" si="22">AO7*3</f>
        <v>4351.7570500840538</v>
      </c>
      <c r="AQ7" s="82">
        <f t="shared" ref="AQ7:AQ16" si="23">AO7+AP7</f>
        <v>5802.3427334454054</v>
      </c>
      <c r="AR7" s="86"/>
      <c r="AS7" s="87" t="s">
        <v>74</v>
      </c>
      <c r="AT7" s="82">
        <f>AK17</f>
        <v>5209.8256700280044</v>
      </c>
      <c r="AU7" s="82">
        <f>AL17</f>
        <v>6019.7788202486936</v>
      </c>
      <c r="AV7" s="82">
        <f>AM17</f>
        <v>6081.291565751043</v>
      </c>
      <c r="AW7" s="82">
        <f>AN17</f>
        <v>8600.8600084426271</v>
      </c>
    </row>
    <row r="8" spans="2:49" s="5" customFormat="1" ht="15" customHeight="1">
      <c r="B8" s="68" t="s">
        <v>204</v>
      </c>
      <c r="C8" s="69">
        <f>VLOOKUP($B8,Unidades!$D$5:$N$32,6,FALSE())</f>
        <v>792.76</v>
      </c>
      <c r="D8" s="69">
        <f>VLOOKUP($B8,Unidades!$D$5:$N$32,7,FALSE())</f>
        <v>20.46</v>
      </c>
      <c r="E8" s="69">
        <f>VLOOKUP($B8,Unidades!$D$5:$N$32,8,FALSE())</f>
        <v>772.3</v>
      </c>
      <c r="F8" s="69">
        <f>VLOOKUP($B8,Unidades!$D$5:$N$32,9,FALSE())</f>
        <v>0</v>
      </c>
      <c r="G8" s="69">
        <f t="shared" si="0"/>
        <v>290.76499999999993</v>
      </c>
      <c r="H8" s="70">
        <f t="shared" si="1"/>
        <v>1.5</v>
      </c>
      <c r="I8" s="70">
        <f t="shared" si="2"/>
        <v>1.7999999999999998</v>
      </c>
      <c r="J8" s="70" t="str">
        <f>VLOOKUP($B8,Unidades!$D$5:$N$32,10,FALSE())</f>
        <v>NÃO</v>
      </c>
      <c r="K8" s="70" t="str">
        <f>VLOOKUP($B8,Unidades!$D$5:$N$36,11,FALSE())</f>
        <v>NÃO</v>
      </c>
      <c r="L8" s="70">
        <f t="shared" si="3"/>
        <v>1.6500000000000001</v>
      </c>
      <c r="M8" s="70">
        <f t="shared" si="4"/>
        <v>1.6500000000000001</v>
      </c>
      <c r="N8" s="70">
        <f t="shared" si="5"/>
        <v>30.15</v>
      </c>
      <c r="O8" s="71">
        <f t="shared" si="6"/>
        <v>1523.7809999999999</v>
      </c>
      <c r="P8" s="32"/>
      <c r="Q8" s="73" t="str">
        <f t="shared" si="7"/>
        <v>CEDOCPREV CAXIAS DO SUL</v>
      </c>
      <c r="R8" s="6">
        <f t="shared" si="8"/>
        <v>75.81</v>
      </c>
      <c r="S8" s="6">
        <f t="shared" si="9"/>
        <v>90.971999999999994</v>
      </c>
      <c r="T8" s="6">
        <f t="shared" si="10"/>
        <v>83.391000000000005</v>
      </c>
      <c r="U8" s="6">
        <f t="shared" si="11"/>
        <v>83.391000000000005</v>
      </c>
      <c r="V8" s="6">
        <f>VLOOKUP(Q8,'Desl. Base Caxias do Sul'!$C$5:$S$14,13,FALSE())*($C$20+$D$20+$E$20*(VLOOKUP(Q8,'Desl. Base Caxias do Sul'!$C$5:$S$14,17,FALSE())/12))</f>
        <v>9.7916805555555548</v>
      </c>
      <c r="W8" s="6">
        <f>VLOOKUP(Q8,'Desl. Base Caxias do Sul'!$C$5:$S$14,15,FALSE())*(2+(VLOOKUP(Q8,'Desl. Base Caxias do Sul'!$C$5:$S$14,17,FALSE())/12))</f>
        <v>0</v>
      </c>
      <c r="X8" s="6">
        <f>VLOOKUP(Q8,'Desl. Base Caxias do Sul'!$C$5:$Q$14,14,FALSE())</f>
        <v>0</v>
      </c>
      <c r="Y8" s="6">
        <f>VLOOKUP(Q8,'Desl. Base Caxias do Sul'!$C$5:$Q$14,13,FALSE())*'Desl. Base Caxias do Sul'!$E$19+'Desl. Base Caxias do Sul'!$E$20*N8/12</f>
        <v>26.729374999999997</v>
      </c>
      <c r="Z8" s="6">
        <f>(H8/$AC$5)*'Equipe Técnica'!$C$13</f>
        <v>204.3749847517586</v>
      </c>
      <c r="AA8" s="6">
        <f>(I8/$AC$5)*'Equipe Técnica'!$C$13</f>
        <v>245.24998170211029</v>
      </c>
      <c r="AB8" s="6">
        <f>(L8/$AC$5)*'Equipe Técnica'!$C$13</f>
        <v>224.81248322693449</v>
      </c>
      <c r="AC8" s="6">
        <f>(M8/$AC$5)*'Equipe Técnica'!$C$13</f>
        <v>224.81248322693449</v>
      </c>
      <c r="AD8" s="6">
        <f t="shared" si="12"/>
        <v>303.25091457631999</v>
      </c>
      <c r="AE8" s="6">
        <f t="shared" si="13"/>
        <v>359.28791152667168</v>
      </c>
      <c r="AF8" s="6">
        <f t="shared" si="14"/>
        <v>331.26941305149592</v>
      </c>
      <c r="AG8" s="6">
        <f t="shared" si="15"/>
        <v>331.26941305149592</v>
      </c>
      <c r="AI8" s="73" t="str">
        <f t="shared" si="16"/>
        <v>CEDOCPREV CAXIAS DO SUL</v>
      </c>
      <c r="AJ8" s="84">
        <f>VLOOKUP(AI8,Unidades!D$5:H$32,5,)</f>
        <v>0.2487</v>
      </c>
      <c r="AK8" s="82">
        <f t="shared" si="17"/>
        <v>378.66941703145073</v>
      </c>
      <c r="AL8" s="82">
        <f t="shared" si="18"/>
        <v>448.64281512335492</v>
      </c>
      <c r="AM8" s="82">
        <f t="shared" si="19"/>
        <v>413.65611607740294</v>
      </c>
      <c r="AN8" s="82">
        <f t="shared" si="20"/>
        <v>413.65611607740294</v>
      </c>
      <c r="AO8" s="82">
        <f t="shared" si="21"/>
        <v>631.63105109191974</v>
      </c>
      <c r="AP8" s="82">
        <f t="shared" si="22"/>
        <v>1894.8931532757592</v>
      </c>
      <c r="AQ8" s="82">
        <f t="shared" si="23"/>
        <v>2526.524204367679</v>
      </c>
      <c r="AR8" s="86"/>
      <c r="AS8" s="87" t="s">
        <v>75</v>
      </c>
      <c r="AT8" s="82">
        <f>AT7*12</f>
        <v>62517.908040336057</v>
      </c>
      <c r="AU8" s="82">
        <f>AU7*4</f>
        <v>24079.115280994774</v>
      </c>
      <c r="AV8" s="82">
        <f>AV7*2</f>
        <v>12162.583131502086</v>
      </c>
      <c r="AW8" s="82">
        <f>AW7</f>
        <v>8600.8600084426271</v>
      </c>
    </row>
    <row r="9" spans="2:49" s="5" customFormat="1" ht="15" customHeight="1">
      <c r="B9" s="68" t="s">
        <v>202</v>
      </c>
      <c r="C9" s="69">
        <f>VLOOKUP($B9,Unidades!$D$5:$N$32,6,FALSE())</f>
        <v>226.81</v>
      </c>
      <c r="D9" s="69">
        <f>VLOOKUP($B9,Unidades!$D$5:$N$32,7,FALSE())</f>
        <v>0</v>
      </c>
      <c r="E9" s="69">
        <f>VLOOKUP($B9,Unidades!$D$5:$N$32,8,FALSE())</f>
        <v>0</v>
      </c>
      <c r="F9" s="69">
        <f>VLOOKUP($B9,Unidades!$D$5:$N$32,9,FALSE())</f>
        <v>226.81</v>
      </c>
      <c r="G9" s="69">
        <f t="shared" si="0"/>
        <v>22.681000000000001</v>
      </c>
      <c r="H9" s="70">
        <f t="shared" si="1"/>
        <v>1.5</v>
      </c>
      <c r="I9" s="70">
        <f t="shared" si="2"/>
        <v>1.7999999999999998</v>
      </c>
      <c r="J9" s="70" t="str">
        <f>VLOOKUP($B9,Unidades!$D$5:$N$32,10,FALSE())</f>
        <v>NÃO</v>
      </c>
      <c r="K9" s="70" t="str">
        <f>VLOOKUP($B9,Unidades!$D$5:$N$36,11,FALSE())</f>
        <v>NÃO</v>
      </c>
      <c r="L9" s="70">
        <f t="shared" si="3"/>
        <v>1.6500000000000001</v>
      </c>
      <c r="M9" s="70">
        <f t="shared" si="4"/>
        <v>1.6500000000000001</v>
      </c>
      <c r="N9" s="70">
        <f t="shared" si="5"/>
        <v>30.15</v>
      </c>
      <c r="O9" s="71">
        <f t="shared" si="6"/>
        <v>1523.7809999999999</v>
      </c>
      <c r="P9" s="32"/>
      <c r="Q9" s="73" t="str">
        <f t="shared" si="7"/>
        <v>ARQUIVO RUA MARQUÊS DO HERVAL</v>
      </c>
      <c r="R9" s="6">
        <f t="shared" si="8"/>
        <v>75.81</v>
      </c>
      <c r="S9" s="6">
        <f t="shared" si="9"/>
        <v>90.971999999999994</v>
      </c>
      <c r="T9" s="6">
        <f t="shared" si="10"/>
        <v>83.391000000000005</v>
      </c>
      <c r="U9" s="6">
        <f t="shared" si="11"/>
        <v>83.391000000000005</v>
      </c>
      <c r="V9" s="6">
        <f>VLOOKUP(Q9,'Desl. Base Caxias do Sul'!$C$5:$S$14,13,FALSE())*($C$20+$D$20+$E$20*(VLOOKUP(Q9,'Desl. Base Caxias do Sul'!$C$5:$S$14,17,FALSE())/12))</f>
        <v>18.110166666666668</v>
      </c>
      <c r="W9" s="6">
        <f>VLOOKUP(Q9,'Desl. Base Caxias do Sul'!$C$5:$S$14,15,FALSE())*(2+(VLOOKUP(Q9,'Desl. Base Caxias do Sul'!$C$5:$S$14,17,FALSE())/12))</f>
        <v>0</v>
      </c>
      <c r="X9" s="6">
        <f>VLOOKUP(Q9,'Desl. Base Caxias do Sul'!$C$5:$Q$14,14,FALSE())</f>
        <v>0</v>
      </c>
      <c r="Y9" s="6">
        <f>VLOOKUP(Q9,'Desl. Base Caxias do Sul'!$C$5:$Q$14,13,FALSE())*'Desl. Base Caxias do Sul'!$E$19+'Desl. Base Caxias do Sul'!$E$20*N9/12</f>
        <v>35.575625000000002</v>
      </c>
      <c r="Z9" s="6">
        <f>(H9/$AC$5)*'Equipe Técnica'!$C$13</f>
        <v>204.3749847517586</v>
      </c>
      <c r="AA9" s="6">
        <f>(I9/$AC$5)*'Equipe Técnica'!$C$13</f>
        <v>245.24998170211029</v>
      </c>
      <c r="AB9" s="6">
        <f>(L9/$AC$5)*'Equipe Técnica'!$C$13</f>
        <v>224.81248322693449</v>
      </c>
      <c r="AC9" s="6">
        <f>(M9/$AC$5)*'Equipe Técnica'!$C$13</f>
        <v>224.81248322693449</v>
      </c>
      <c r="AD9" s="6">
        <f t="shared" si="12"/>
        <v>314.09180054123226</v>
      </c>
      <c r="AE9" s="6">
        <f t="shared" si="13"/>
        <v>370.12879749158401</v>
      </c>
      <c r="AF9" s="6">
        <f t="shared" si="14"/>
        <v>342.11029901640819</v>
      </c>
      <c r="AG9" s="6">
        <f t="shared" si="15"/>
        <v>342.11029901640819</v>
      </c>
      <c r="AI9" s="73" t="str">
        <f t="shared" si="16"/>
        <v>ARQUIVO RUA MARQUÊS DO HERVAL</v>
      </c>
      <c r="AJ9" s="84">
        <f>VLOOKUP(AI9,Unidades!D$5:H$32,5,)</f>
        <v>0.2487</v>
      </c>
      <c r="AK9" s="82">
        <f t="shared" si="17"/>
        <v>392.20643133583673</v>
      </c>
      <c r="AL9" s="82">
        <f t="shared" si="18"/>
        <v>462.17982942774091</v>
      </c>
      <c r="AM9" s="82">
        <f t="shared" si="19"/>
        <v>427.19313038178888</v>
      </c>
      <c r="AN9" s="82">
        <f t="shared" si="20"/>
        <v>427.19313038178888</v>
      </c>
      <c r="AO9" s="82">
        <f t="shared" si="21"/>
        <v>653.06465707386428</v>
      </c>
      <c r="AP9" s="82">
        <f t="shared" si="22"/>
        <v>1959.1939712215928</v>
      </c>
      <c r="AQ9" s="82">
        <f t="shared" si="23"/>
        <v>2612.2586282954571</v>
      </c>
      <c r="AR9" s="86"/>
      <c r="AS9" s="86"/>
      <c r="AT9" s="85"/>
      <c r="AU9" s="85"/>
      <c r="AV9" s="85"/>
      <c r="AW9" s="85"/>
    </row>
    <row r="10" spans="2:49" s="5" customFormat="1" ht="15" customHeight="1">
      <c r="B10" s="68" t="s">
        <v>198</v>
      </c>
      <c r="C10" s="69">
        <f>VLOOKUP($B10,Unidades!$D$5:$N$32,6,FALSE())</f>
        <v>334.4</v>
      </c>
      <c r="D10" s="69">
        <f>VLOOKUP($B10,Unidades!$D$5:$N$32,7,FALSE())</f>
        <v>296</v>
      </c>
      <c r="E10" s="69">
        <f>VLOOKUP($B10,Unidades!$D$5:$N$32,8,FALSE())</f>
        <v>38.4</v>
      </c>
      <c r="F10" s="69">
        <f>VLOOKUP($B10,Unidades!$D$5:$N$32,9,FALSE())</f>
        <v>0</v>
      </c>
      <c r="G10" s="69">
        <f t="shared" si="0"/>
        <v>309.44</v>
      </c>
      <c r="H10" s="70">
        <f t="shared" si="1"/>
        <v>1.5</v>
      </c>
      <c r="I10" s="70">
        <f t="shared" si="2"/>
        <v>1.7999999999999998</v>
      </c>
      <c r="J10" s="70" t="str">
        <f>VLOOKUP($B10,Unidades!$D$5:$N$32,10,FALSE())</f>
        <v>NÃO</v>
      </c>
      <c r="K10" s="70" t="str">
        <f>VLOOKUP($B10,Unidades!$D$5:$N$36,11,FALSE())</f>
        <v>NÃO</v>
      </c>
      <c r="L10" s="70">
        <f t="shared" si="3"/>
        <v>1.6500000000000001</v>
      </c>
      <c r="M10" s="70">
        <f t="shared" si="4"/>
        <v>1.6500000000000001</v>
      </c>
      <c r="N10" s="70">
        <f t="shared" si="5"/>
        <v>30.15</v>
      </c>
      <c r="O10" s="71">
        <f t="shared" si="6"/>
        <v>1523.7809999999999</v>
      </c>
      <c r="P10" s="32"/>
      <c r="Q10" s="73" t="str">
        <f t="shared" si="7"/>
        <v>APS FLORES DA CUNHA</v>
      </c>
      <c r="R10" s="6">
        <f t="shared" si="8"/>
        <v>75.81</v>
      </c>
      <c r="S10" s="6">
        <f t="shared" si="9"/>
        <v>90.971999999999994</v>
      </c>
      <c r="T10" s="6">
        <f t="shared" si="10"/>
        <v>83.391000000000005</v>
      </c>
      <c r="U10" s="6">
        <f t="shared" si="11"/>
        <v>83.391000000000005</v>
      </c>
      <c r="V10" s="6">
        <f>VLOOKUP(Q10,'Desl. Base Caxias do Sul'!$C$5:$S$14,13,FALSE())*($C$20+$D$20+$E$20*(VLOOKUP(Q10,'Desl. Base Caxias do Sul'!$C$5:$S$14,17,FALSE())/12))</f>
        <v>18.110166666666668</v>
      </c>
      <c r="W10" s="6">
        <f>VLOOKUP(Q10,'Desl. Base Caxias do Sul'!$C$5:$S$14,15,FALSE())*(2+(VLOOKUP(Q10,'Desl. Base Caxias do Sul'!$C$5:$S$14,17,FALSE())/12))</f>
        <v>0</v>
      </c>
      <c r="X10" s="6">
        <f>VLOOKUP(Q10,'Desl. Base Caxias do Sul'!$C$5:$Q$14,14,FALSE())</f>
        <v>0</v>
      </c>
      <c r="Y10" s="6">
        <f>VLOOKUP(Q10,'Desl. Base Caxias do Sul'!$C$5:$Q$14,13,FALSE())*'Desl. Base Caxias do Sul'!$E$19+'Desl. Base Caxias do Sul'!$E$20*N10/12</f>
        <v>35.575625000000002</v>
      </c>
      <c r="Z10" s="6">
        <f>(H10/$AC$5)*'Equipe Técnica'!$C$13</f>
        <v>204.3749847517586</v>
      </c>
      <c r="AA10" s="6">
        <f>(I10/$AC$5)*'Equipe Técnica'!$C$13</f>
        <v>245.24998170211029</v>
      </c>
      <c r="AB10" s="6">
        <f>(L10/$AC$5)*'Equipe Técnica'!$C$13</f>
        <v>224.81248322693449</v>
      </c>
      <c r="AC10" s="6">
        <f>(M10/$AC$5)*'Equipe Técnica'!$C$13</f>
        <v>224.81248322693449</v>
      </c>
      <c r="AD10" s="6">
        <f t="shared" si="12"/>
        <v>314.09180054123226</v>
      </c>
      <c r="AE10" s="6">
        <f t="shared" si="13"/>
        <v>370.12879749158401</v>
      </c>
      <c r="AF10" s="6">
        <f t="shared" si="14"/>
        <v>342.11029901640819</v>
      </c>
      <c r="AG10" s="6">
        <f t="shared" si="15"/>
        <v>342.11029901640819</v>
      </c>
      <c r="AI10" s="73" t="str">
        <f t="shared" si="16"/>
        <v>APS FLORES DA CUNHA</v>
      </c>
      <c r="AJ10" s="84">
        <f>VLOOKUP(AI10,Unidades!D$5:H$32,5,)</f>
        <v>0.2223</v>
      </c>
      <c r="AK10" s="82">
        <f t="shared" si="17"/>
        <v>383.91440780154818</v>
      </c>
      <c r="AL10" s="82">
        <f t="shared" si="18"/>
        <v>452.4084291739631</v>
      </c>
      <c r="AM10" s="82">
        <f t="shared" si="19"/>
        <v>418.16141848775572</v>
      </c>
      <c r="AN10" s="82">
        <f t="shared" si="20"/>
        <v>418.16141848775572</v>
      </c>
      <c r="AO10" s="82">
        <f t="shared" si="21"/>
        <v>639.25757214814155</v>
      </c>
      <c r="AP10" s="82">
        <f t="shared" si="22"/>
        <v>1917.7727164444245</v>
      </c>
      <c r="AQ10" s="82">
        <f t="shared" si="23"/>
        <v>2557.0302885925662</v>
      </c>
      <c r="AR10" s="86"/>
      <c r="AS10" s="108" t="s">
        <v>65</v>
      </c>
      <c r="AT10" s="267">
        <f>(SUM(AT8:AW8))/12</f>
        <v>8946.7055384396299</v>
      </c>
      <c r="AU10" s="267"/>
      <c r="AV10" s="85"/>
      <c r="AW10" s="85"/>
    </row>
    <row r="11" spans="2:49" s="5" customFormat="1" ht="15" customHeight="1">
      <c r="B11" s="68" t="s">
        <v>194</v>
      </c>
      <c r="C11" s="69">
        <f>VLOOKUP($B11,Unidades!$D$5:$N$32,6,FALSE())</f>
        <v>334.4</v>
      </c>
      <c r="D11" s="69">
        <f>VLOOKUP($B11,Unidades!$D$5:$N$32,7,FALSE())</f>
        <v>296</v>
      </c>
      <c r="E11" s="69">
        <f>VLOOKUP($B11,Unidades!$D$5:$N$32,8,FALSE())</f>
        <v>38.4</v>
      </c>
      <c r="F11" s="69">
        <f>VLOOKUP($B11,Unidades!$D$5:$N$32,9,FALSE())</f>
        <v>0</v>
      </c>
      <c r="G11" s="69">
        <f t="shared" si="0"/>
        <v>309.44</v>
      </c>
      <c r="H11" s="70">
        <f t="shared" si="1"/>
        <v>1.5</v>
      </c>
      <c r="I11" s="70">
        <f t="shared" si="2"/>
        <v>1.7999999999999998</v>
      </c>
      <c r="J11" s="70" t="str">
        <f>VLOOKUP($B11,Unidades!$D$5:$N$32,10,FALSE())</f>
        <v>NÃO</v>
      </c>
      <c r="K11" s="70" t="str">
        <f>VLOOKUP($B11,Unidades!$D$5:$N$36,11,FALSE())</f>
        <v>NÃO</v>
      </c>
      <c r="L11" s="70">
        <f t="shared" si="3"/>
        <v>1.6500000000000001</v>
      </c>
      <c r="M11" s="70">
        <f t="shared" si="4"/>
        <v>1.6500000000000001</v>
      </c>
      <c r="N11" s="70">
        <f t="shared" si="5"/>
        <v>30.15</v>
      </c>
      <c r="O11" s="71">
        <f t="shared" si="6"/>
        <v>1523.7809999999999</v>
      </c>
      <c r="P11" s="32"/>
      <c r="Q11" s="73" t="str">
        <f t="shared" si="7"/>
        <v>APS CARLOS BARBOSA</v>
      </c>
      <c r="R11" s="6">
        <f t="shared" si="8"/>
        <v>75.81</v>
      </c>
      <c r="S11" s="6">
        <f t="shared" si="9"/>
        <v>90.971999999999994</v>
      </c>
      <c r="T11" s="6">
        <f t="shared" si="10"/>
        <v>83.391000000000005</v>
      </c>
      <c r="U11" s="6">
        <f t="shared" si="11"/>
        <v>83.391000000000005</v>
      </c>
      <c r="V11" s="6">
        <f>VLOOKUP(Q11,'Desl. Base Caxias do Sul'!$C$5:$S$14,13,FALSE())*($C$20+$D$20+$E$20*(VLOOKUP(Q11,'Desl. Base Caxias do Sul'!$C$5:$S$14,17,FALSE())/12))</f>
        <v>46.749500000000005</v>
      </c>
      <c r="W11" s="6">
        <f>VLOOKUP(Q11,'Desl. Base Caxias do Sul'!$C$5:$S$14,15,FALSE())*(2+(VLOOKUP(Q11,'Desl. Base Caxias do Sul'!$C$5:$S$14,17,FALSE())/12))</f>
        <v>0</v>
      </c>
      <c r="X11" s="6">
        <f>VLOOKUP(Q11,'Desl. Base Caxias do Sul'!$C$5:$Q$14,14,FALSE())</f>
        <v>0</v>
      </c>
      <c r="Y11" s="6">
        <f>VLOOKUP(Q11,'Desl. Base Caxias do Sul'!$C$5:$Q$14,13,FALSE())*'Desl. Base Caxias do Sul'!$E$19+'Desl. Base Caxias do Sul'!$E$20*N11/12</f>
        <v>64.220624999999998</v>
      </c>
      <c r="Z11" s="6">
        <f>(H11/$AC$5)*'Equipe Técnica'!$C$13</f>
        <v>204.3749847517586</v>
      </c>
      <c r="AA11" s="6">
        <f>(I11/$AC$5)*'Equipe Técnica'!$C$13</f>
        <v>245.24998170211029</v>
      </c>
      <c r="AB11" s="6">
        <f>(L11/$AC$5)*'Equipe Técnica'!$C$13</f>
        <v>224.81248322693449</v>
      </c>
      <c r="AC11" s="6">
        <f>(M11/$AC$5)*'Equipe Técnica'!$C$13</f>
        <v>224.81248322693449</v>
      </c>
      <c r="AD11" s="6">
        <f t="shared" si="12"/>
        <v>350.2713794886007</v>
      </c>
      <c r="AE11" s="6">
        <f t="shared" si="13"/>
        <v>406.30837643895239</v>
      </c>
      <c r="AF11" s="6">
        <f t="shared" si="14"/>
        <v>378.28987796377658</v>
      </c>
      <c r="AG11" s="6">
        <f t="shared" si="15"/>
        <v>378.28987796377658</v>
      </c>
      <c r="AI11" s="73" t="str">
        <f t="shared" si="16"/>
        <v>APS CARLOS BARBOSA</v>
      </c>
      <c r="AJ11" s="84">
        <f>VLOOKUP(AI11,Unidades!D$5:H$32,5,)</f>
        <v>0.26240000000000002</v>
      </c>
      <c r="AK11" s="82">
        <f t="shared" si="17"/>
        <v>442.18258946640952</v>
      </c>
      <c r="AL11" s="82">
        <f t="shared" si="18"/>
        <v>512.92369441653352</v>
      </c>
      <c r="AM11" s="82">
        <f t="shared" si="19"/>
        <v>477.55314194147155</v>
      </c>
      <c r="AN11" s="82">
        <f t="shared" si="20"/>
        <v>477.55314194147155</v>
      </c>
      <c r="AO11" s="82">
        <f t="shared" si="21"/>
        <v>732.54543975728859</v>
      </c>
      <c r="AP11" s="82">
        <f t="shared" si="22"/>
        <v>2197.6363192718659</v>
      </c>
      <c r="AQ11" s="82">
        <f t="shared" si="23"/>
        <v>2930.1817590291544</v>
      </c>
      <c r="AR11" s="86"/>
      <c r="AS11" s="108" t="s">
        <v>76</v>
      </c>
      <c r="AT11" s="267">
        <f>AT10*12</f>
        <v>107360.46646127556</v>
      </c>
      <c r="AU11" s="267"/>
      <c r="AV11" s="85"/>
      <c r="AW11" s="85"/>
    </row>
    <row r="12" spans="2:49" s="5" customFormat="1" ht="15" customHeight="1">
      <c r="B12" s="68" t="s">
        <v>200</v>
      </c>
      <c r="C12" s="69">
        <f>VLOOKUP($B12,Unidades!$D$5:$N$32,6,FALSE())</f>
        <v>840.61</v>
      </c>
      <c r="D12" s="69">
        <f>VLOOKUP($B12,Unidades!$D$5:$N$32,7,FALSE())</f>
        <v>399.63</v>
      </c>
      <c r="E12" s="69">
        <f>VLOOKUP($B12,Unidades!$D$5:$N$32,8,FALSE())</f>
        <v>166.29</v>
      </c>
      <c r="F12" s="69">
        <f>VLOOKUP($B12,Unidades!$D$5:$N$32,9,FALSE())</f>
        <v>274.69</v>
      </c>
      <c r="G12" s="69">
        <f t="shared" si="0"/>
        <v>485.3005</v>
      </c>
      <c r="H12" s="70">
        <f t="shared" si="1"/>
        <v>1.5</v>
      </c>
      <c r="I12" s="70">
        <f t="shared" si="2"/>
        <v>1.7999999999999998</v>
      </c>
      <c r="J12" s="70" t="str">
        <f>VLOOKUP($B12,Unidades!$D$5:$N$32,10,FALSE())</f>
        <v>NÃO</v>
      </c>
      <c r="K12" s="70" t="str">
        <f>VLOOKUP($B12,Unidades!$D$5:$N$36,11,FALSE())</f>
        <v>NÃO</v>
      </c>
      <c r="L12" s="70">
        <f t="shared" si="3"/>
        <v>1.6500000000000001</v>
      </c>
      <c r="M12" s="70">
        <f t="shared" si="4"/>
        <v>1.6500000000000001</v>
      </c>
      <c r="N12" s="70">
        <f t="shared" si="5"/>
        <v>30.15</v>
      </c>
      <c r="O12" s="71">
        <f t="shared" si="6"/>
        <v>1523.7809999999999</v>
      </c>
      <c r="P12" s="32"/>
      <c r="Q12" s="73" t="str">
        <f t="shared" si="7"/>
        <v>APS GARIBALDI</v>
      </c>
      <c r="R12" s="6">
        <f t="shared" si="8"/>
        <v>75.81</v>
      </c>
      <c r="S12" s="6">
        <f t="shared" si="9"/>
        <v>90.971999999999994</v>
      </c>
      <c r="T12" s="6">
        <f t="shared" si="10"/>
        <v>83.391000000000005</v>
      </c>
      <c r="U12" s="6">
        <f t="shared" si="11"/>
        <v>83.391000000000005</v>
      </c>
      <c r="V12" s="6">
        <f>VLOOKUP(Q12,'Desl. Base Caxias do Sul'!$C$5:$S$14,13,FALSE())*($C$20+$D$20+$E$20*(VLOOKUP(Q12,'Desl. Base Caxias do Sul'!$C$5:$S$14,17,FALSE())/12))</f>
        <v>46.749500000000005</v>
      </c>
      <c r="W12" s="6">
        <f>VLOOKUP(Q12,'Desl. Base Caxias do Sul'!$C$5:$S$14,15,FALSE())*(2+(VLOOKUP(Q12,'Desl. Base Caxias do Sul'!$C$5:$S$14,17,FALSE())/12))</f>
        <v>0</v>
      </c>
      <c r="X12" s="6">
        <f>VLOOKUP(Q12,'Desl. Base Caxias do Sul'!$C$5:$Q$14,14,FALSE())</f>
        <v>0</v>
      </c>
      <c r="Y12" s="6">
        <f>VLOOKUP(Q12,'Desl. Base Caxias do Sul'!$C$5:$Q$14,13,FALSE())*'Desl. Base Caxias do Sul'!$E$19+'Desl. Base Caxias do Sul'!$E$20*N12/12</f>
        <v>64.220624999999998</v>
      </c>
      <c r="Z12" s="6">
        <f>(H12/$AC$5)*'Equipe Técnica'!$C$13</f>
        <v>204.3749847517586</v>
      </c>
      <c r="AA12" s="6">
        <f>(I12/$AC$5)*'Equipe Técnica'!$C$13</f>
        <v>245.24998170211029</v>
      </c>
      <c r="AB12" s="6">
        <f>(L12/$AC$5)*'Equipe Técnica'!$C$13</f>
        <v>224.81248322693449</v>
      </c>
      <c r="AC12" s="6">
        <f>(M12/$AC$5)*'Equipe Técnica'!$C$13</f>
        <v>224.81248322693449</v>
      </c>
      <c r="AD12" s="6">
        <f t="shared" si="12"/>
        <v>350.2713794886007</v>
      </c>
      <c r="AE12" s="6">
        <f t="shared" si="13"/>
        <v>406.30837643895239</v>
      </c>
      <c r="AF12" s="6">
        <f t="shared" si="14"/>
        <v>378.28987796377658</v>
      </c>
      <c r="AG12" s="6">
        <f t="shared" si="15"/>
        <v>378.28987796377658</v>
      </c>
      <c r="AI12" s="73" t="str">
        <f t="shared" si="16"/>
        <v>APS GARIBALDI</v>
      </c>
      <c r="AJ12" s="84">
        <f>VLOOKUP(AI12,Unidades!D$5:H$32,5,)</f>
        <v>0.2354</v>
      </c>
      <c r="AK12" s="82">
        <f t="shared" si="17"/>
        <v>432.7252622202173</v>
      </c>
      <c r="AL12" s="82">
        <f t="shared" si="18"/>
        <v>501.9533682526818</v>
      </c>
      <c r="AM12" s="82">
        <f t="shared" si="19"/>
        <v>467.33931523644958</v>
      </c>
      <c r="AN12" s="82">
        <f t="shared" si="20"/>
        <v>467.33931523644958</v>
      </c>
      <c r="AO12" s="82">
        <f t="shared" si="21"/>
        <v>716.87788044689034</v>
      </c>
      <c r="AP12" s="82">
        <f t="shared" si="22"/>
        <v>2150.6336413406711</v>
      </c>
      <c r="AQ12" s="82">
        <f t="shared" si="23"/>
        <v>2867.5115217875614</v>
      </c>
      <c r="AR12" s="86"/>
      <c r="AS12" s="108" t="s">
        <v>66</v>
      </c>
      <c r="AT12" s="267">
        <f>AT10*3</f>
        <v>26840.11661531889</v>
      </c>
      <c r="AU12" s="267"/>
      <c r="AV12" s="86"/>
      <c r="AW12" s="86"/>
    </row>
    <row r="13" spans="2:49" s="5" customFormat="1" ht="15" customHeight="1">
      <c r="B13" s="68" t="s">
        <v>190</v>
      </c>
      <c r="C13" s="69">
        <f>VLOOKUP($B13,Unidades!$D$5:$N$32,6,FALSE())</f>
        <v>1960.04</v>
      </c>
      <c r="D13" s="69">
        <f>VLOOKUP($B13,Unidades!$D$5:$N$32,7,FALSE())</f>
        <v>980.02</v>
      </c>
      <c r="E13" s="69">
        <f>VLOOKUP($B13,Unidades!$D$5:$N$32,8,FALSE())</f>
        <v>980.02</v>
      </c>
      <c r="F13" s="69">
        <f>VLOOKUP($B13,Unidades!$D$5:$N$32,9,FALSE())</f>
        <v>0</v>
      </c>
      <c r="G13" s="69">
        <f t="shared" si="0"/>
        <v>1323.027</v>
      </c>
      <c r="H13" s="70">
        <f t="shared" si="1"/>
        <v>2</v>
      </c>
      <c r="I13" s="70">
        <f t="shared" si="2"/>
        <v>2.4</v>
      </c>
      <c r="J13" s="70" t="str">
        <f>VLOOKUP($B13,Unidades!$D$5:$N$32,10,FALSE())</f>
        <v>NÃO</v>
      </c>
      <c r="K13" s="70" t="str">
        <f>VLOOKUP($B13,Unidades!$D$5:$N$36,11,FALSE())</f>
        <v>NÃO</v>
      </c>
      <c r="L13" s="70">
        <f t="shared" si="3"/>
        <v>2.2000000000000002</v>
      </c>
      <c r="M13" s="70">
        <f t="shared" si="4"/>
        <v>2.2000000000000002</v>
      </c>
      <c r="N13" s="70">
        <f t="shared" si="5"/>
        <v>40.200000000000003</v>
      </c>
      <c r="O13" s="71">
        <f t="shared" si="6"/>
        <v>2031.7080000000001</v>
      </c>
      <c r="P13" s="32"/>
      <c r="Q13" s="73" t="str">
        <f t="shared" si="7"/>
        <v>APS BENTO GONÇALVES</v>
      </c>
      <c r="R13" s="6">
        <f t="shared" si="8"/>
        <v>101.08</v>
      </c>
      <c r="S13" s="6">
        <f t="shared" si="9"/>
        <v>121.29599999999999</v>
      </c>
      <c r="T13" s="6">
        <f t="shared" si="10"/>
        <v>111.188</v>
      </c>
      <c r="U13" s="6">
        <f t="shared" si="11"/>
        <v>111.188</v>
      </c>
      <c r="V13" s="6">
        <f>VLOOKUP(Q13,'Desl. Base Caxias do Sul'!$C$5:$S$14,13,FALSE())*($C$20+$D$20+$E$20*(VLOOKUP(Q13,'Desl. Base Caxias do Sul'!$C$5:$S$14,17,FALSE())/12))</f>
        <v>43.380166666666661</v>
      </c>
      <c r="W13" s="6">
        <f>VLOOKUP(Q13,'Desl. Base Caxias do Sul'!$C$5:$S$14,15,FALSE())*(2+(VLOOKUP(Q13,'Desl. Base Caxias do Sul'!$C$5:$S$14,17,FALSE())/12))</f>
        <v>0</v>
      </c>
      <c r="X13" s="6">
        <f>VLOOKUP(Q13,'Desl. Base Caxias do Sul'!$C$5:$Q$14,14,FALSE())</f>
        <v>0</v>
      </c>
      <c r="Y13" s="6">
        <f>VLOOKUP(Q13,'Desl. Base Caxias do Sul'!$C$5:$Q$14,13,FALSE())*'Desl. Base Caxias do Sul'!$E$19+'Desl. Base Caxias do Sul'!$E$20*N13/12</f>
        <v>66.671250000000001</v>
      </c>
      <c r="Z13" s="6">
        <f>(H13/$AC$5)*'Equipe Técnica'!$C$13</f>
        <v>272.49997966901145</v>
      </c>
      <c r="AA13" s="6">
        <f>(I13/$AC$5)*'Equipe Técnica'!$C$13</f>
        <v>326.99997560281378</v>
      </c>
      <c r="AB13" s="6">
        <f>(L13/$AC$5)*'Equipe Técnica'!$C$13</f>
        <v>299.74997763591261</v>
      </c>
      <c r="AC13" s="6">
        <f>(M13/$AC$5)*'Equipe Técnica'!$C$13</f>
        <v>299.74997763591261</v>
      </c>
      <c r="AD13" s="6">
        <f t="shared" si="12"/>
        <v>443.08613756374825</v>
      </c>
      <c r="AE13" s="6">
        <f t="shared" si="13"/>
        <v>517.80213349755059</v>
      </c>
      <c r="AF13" s="6">
        <f t="shared" si="14"/>
        <v>480.44413553064942</v>
      </c>
      <c r="AG13" s="6">
        <f t="shared" si="15"/>
        <v>480.44413553064942</v>
      </c>
      <c r="AI13" s="73" t="str">
        <f t="shared" si="16"/>
        <v>APS BENTO GONÇALVES</v>
      </c>
      <c r="AJ13" s="84">
        <f>VLOOKUP(AI13,Unidades!D$5:H$32,5,)</f>
        <v>0.2354</v>
      </c>
      <c r="AK13" s="82">
        <f t="shared" si="17"/>
        <v>547.3886143462546</v>
      </c>
      <c r="AL13" s="82">
        <f t="shared" si="18"/>
        <v>639.69275572287404</v>
      </c>
      <c r="AM13" s="82">
        <f t="shared" si="19"/>
        <v>593.54068503456426</v>
      </c>
      <c r="AN13" s="82">
        <f t="shared" si="20"/>
        <v>593.54068503456426</v>
      </c>
      <c r="AO13" s="82">
        <f t="shared" si="21"/>
        <v>909.00470417918712</v>
      </c>
      <c r="AP13" s="82">
        <f t="shared" si="22"/>
        <v>2727.0141125375612</v>
      </c>
      <c r="AQ13" s="82">
        <f t="shared" si="23"/>
        <v>3636.0188167167485</v>
      </c>
      <c r="AR13" s="86"/>
      <c r="AS13" s="108" t="s">
        <v>77</v>
      </c>
      <c r="AT13" s="267">
        <f>AT12*12</f>
        <v>322081.39938382665</v>
      </c>
      <c r="AU13" s="267"/>
      <c r="AV13" s="85"/>
      <c r="AW13" s="85"/>
    </row>
    <row r="14" spans="2:49" s="5" customFormat="1" ht="15" customHeight="1">
      <c r="B14" s="68" t="s">
        <v>196</v>
      </c>
      <c r="C14" s="69">
        <f>VLOOKUP($B14,Unidades!$D$5:$N$32,6,FALSE())</f>
        <v>617.87</v>
      </c>
      <c r="D14" s="69">
        <f>VLOOKUP($B14,Unidades!$D$5:$N$32,7,FALSE())</f>
        <v>420.59</v>
      </c>
      <c r="E14" s="69">
        <f>VLOOKUP($B14,Unidades!$D$5:$N$32,8,FALSE())</f>
        <v>197.28</v>
      </c>
      <c r="F14" s="69">
        <f>VLOOKUP($B14,Unidades!$D$5:$N$32,9,FALSE())</f>
        <v>0</v>
      </c>
      <c r="G14" s="69">
        <f t="shared" si="0"/>
        <v>489.63799999999998</v>
      </c>
      <c r="H14" s="70">
        <f t="shared" si="1"/>
        <v>1.5</v>
      </c>
      <c r="I14" s="70">
        <f t="shared" si="2"/>
        <v>1.7999999999999998</v>
      </c>
      <c r="J14" s="70" t="str">
        <f>VLOOKUP($B14,Unidades!$D$5:$N$32,10,FALSE())</f>
        <v>NÃO</v>
      </c>
      <c r="K14" s="70" t="str">
        <f>VLOOKUP($B14,Unidades!$D$5:$N$36,11,FALSE())</f>
        <v>NÃO</v>
      </c>
      <c r="L14" s="70">
        <f t="shared" si="3"/>
        <v>1.6500000000000001</v>
      </c>
      <c r="M14" s="70">
        <f t="shared" si="4"/>
        <v>1.6500000000000001</v>
      </c>
      <c r="N14" s="70">
        <f t="shared" si="5"/>
        <v>30.15</v>
      </c>
      <c r="O14" s="71">
        <f t="shared" si="6"/>
        <v>1523.7809999999999</v>
      </c>
      <c r="P14" s="32"/>
      <c r="Q14" s="73" t="str">
        <f t="shared" si="7"/>
        <v>APS FARROUPILHA</v>
      </c>
      <c r="R14" s="6">
        <f t="shared" si="8"/>
        <v>75.81</v>
      </c>
      <c r="S14" s="6">
        <f t="shared" si="9"/>
        <v>90.971999999999994</v>
      </c>
      <c r="T14" s="6">
        <f t="shared" si="10"/>
        <v>83.391000000000005</v>
      </c>
      <c r="U14" s="6">
        <f t="shared" si="11"/>
        <v>83.391000000000005</v>
      </c>
      <c r="V14" s="6">
        <f>VLOOKUP(Q14,'Desl. Base Caxias do Sul'!$C$5:$S$14,13,FALSE())*($C$20+$D$20+$E$20*(VLOOKUP(Q14,'Desl. Base Caxias do Sul'!$C$5:$S$14,17,FALSE())/12))</f>
        <v>43.380166666666661</v>
      </c>
      <c r="W14" s="6">
        <f>VLOOKUP(Q14,'Desl. Base Caxias do Sul'!$C$5:$S$14,15,FALSE())*(2+(VLOOKUP(Q14,'Desl. Base Caxias do Sul'!$C$5:$S$14,17,FALSE())/12))</f>
        <v>0</v>
      </c>
      <c r="X14" s="6">
        <f>VLOOKUP(Q14,'Desl. Base Caxias do Sul'!$C$5:$Q$14,14,FALSE())</f>
        <v>0</v>
      </c>
      <c r="Y14" s="6">
        <f>VLOOKUP(Q14,'Desl. Base Caxias do Sul'!$C$5:$Q$14,13,FALSE())*'Desl. Base Caxias do Sul'!$E$19+'Desl. Base Caxias do Sul'!$E$20*N14/12</f>
        <v>60.850624999999994</v>
      </c>
      <c r="Z14" s="6">
        <f>(H14/$AC$5)*'Equipe Técnica'!$C$13</f>
        <v>204.3749847517586</v>
      </c>
      <c r="AA14" s="6">
        <f>(I14/$AC$5)*'Equipe Técnica'!$C$13</f>
        <v>245.24998170211029</v>
      </c>
      <c r="AB14" s="6">
        <f>(L14/$AC$5)*'Equipe Técnica'!$C$13</f>
        <v>224.81248322693449</v>
      </c>
      <c r="AC14" s="6">
        <f>(M14/$AC$5)*'Equipe Técnica'!$C$13</f>
        <v>224.81248322693449</v>
      </c>
      <c r="AD14" s="6">
        <f t="shared" si="12"/>
        <v>346.01495843596911</v>
      </c>
      <c r="AE14" s="6">
        <f t="shared" si="13"/>
        <v>402.0519553863208</v>
      </c>
      <c r="AF14" s="6">
        <f t="shared" si="14"/>
        <v>374.03345691114498</v>
      </c>
      <c r="AG14" s="6">
        <f t="shared" si="15"/>
        <v>374.03345691114498</v>
      </c>
      <c r="AI14" s="73" t="str">
        <f t="shared" si="16"/>
        <v>APS FARROUPILHA</v>
      </c>
      <c r="AJ14" s="84">
        <f>VLOOKUP(AI14,Unidades!D$5:H$32,5,)</f>
        <v>0.2223</v>
      </c>
      <c r="AK14" s="82">
        <f t="shared" si="17"/>
        <v>422.93408369628503</v>
      </c>
      <c r="AL14" s="82">
        <f t="shared" si="18"/>
        <v>491.42810506869989</v>
      </c>
      <c r="AM14" s="82">
        <f t="shared" si="19"/>
        <v>457.18109438249246</v>
      </c>
      <c r="AN14" s="82">
        <f t="shared" si="20"/>
        <v>457.18109438249246</v>
      </c>
      <c r="AO14" s="82">
        <f t="shared" si="21"/>
        <v>701.03872564814139</v>
      </c>
      <c r="AP14" s="82">
        <f t="shared" si="22"/>
        <v>2103.1161769444243</v>
      </c>
      <c r="AQ14" s="82">
        <f t="shared" si="23"/>
        <v>2804.1549025925656</v>
      </c>
      <c r="AR14" s="86"/>
      <c r="AS14" s="108" t="s">
        <v>78</v>
      </c>
      <c r="AT14" s="267">
        <f>AT10+AT12</f>
        <v>35786.82215375852</v>
      </c>
      <c r="AU14" s="267"/>
      <c r="AV14" s="85"/>
      <c r="AW14" s="85"/>
    </row>
    <row r="15" spans="2:49" s="5" customFormat="1" ht="15" customHeight="1">
      <c r="B15" s="68" t="s">
        <v>192</v>
      </c>
      <c r="C15" s="69">
        <f>VLOOKUP($B15,Unidades!$D$5:$N$32,6,FALSE())</f>
        <v>1354.16</v>
      </c>
      <c r="D15" s="69">
        <f>VLOOKUP($B15,Unidades!$D$5:$N$32,7,FALSE())</f>
        <v>771.34</v>
      </c>
      <c r="E15" s="69">
        <f>VLOOKUP($B15,Unidades!$D$5:$N$32,8,FALSE())</f>
        <v>241.24</v>
      </c>
      <c r="F15" s="69">
        <f>VLOOKUP($B15,Unidades!$D$5:$N$32,9,FALSE())</f>
        <v>341.58</v>
      </c>
      <c r="G15" s="69">
        <f t="shared" si="0"/>
        <v>889.93200000000002</v>
      </c>
      <c r="H15" s="70">
        <f t="shared" si="1"/>
        <v>2</v>
      </c>
      <c r="I15" s="70">
        <f t="shared" si="2"/>
        <v>2.4</v>
      </c>
      <c r="J15" s="70" t="str">
        <f>VLOOKUP($B15,Unidades!$D$5:$N$32,10,FALSE())</f>
        <v>NÃO</v>
      </c>
      <c r="K15" s="70" t="str">
        <f>VLOOKUP($B15,Unidades!$D$5:$N$36,11,FALSE())</f>
        <v>SIM</v>
      </c>
      <c r="L15" s="70">
        <f t="shared" si="3"/>
        <v>2.2000000000000002</v>
      </c>
      <c r="M15" s="70">
        <f t="shared" si="4"/>
        <v>6.2</v>
      </c>
      <c r="N15" s="70">
        <f t="shared" si="5"/>
        <v>44.2</v>
      </c>
      <c r="O15" s="71">
        <f t="shared" si="6"/>
        <v>2447.3339999999998</v>
      </c>
      <c r="P15" s="32"/>
      <c r="Q15" s="73" t="str">
        <f t="shared" si="7"/>
        <v>APS CANELA</v>
      </c>
      <c r="R15" s="6">
        <f t="shared" si="8"/>
        <v>101.08</v>
      </c>
      <c r="S15" s="6">
        <f t="shared" si="9"/>
        <v>121.29599999999999</v>
      </c>
      <c r="T15" s="6">
        <f t="shared" si="10"/>
        <v>111.188</v>
      </c>
      <c r="U15" s="6">
        <f t="shared" si="11"/>
        <v>526.81399999999996</v>
      </c>
      <c r="V15" s="6">
        <f>VLOOKUP(Q15,'Desl. Base Caxias do Sul'!$C$5:$S$14,13,FALSE())*($C$20+$D$20+$E$20*(VLOOKUP(Q15,'Desl. Base Caxias do Sul'!$C$5:$S$14,17,FALSE())/12))</f>
        <v>160.22749999999999</v>
      </c>
      <c r="W15" s="6">
        <f>VLOOKUP(Q15,'Desl. Base Caxias do Sul'!$C$5:$S$14,15,FALSE())*(2+(VLOOKUP(Q15,'Desl. Base Caxias do Sul'!$C$5:$S$14,17,FALSE())/12))</f>
        <v>0</v>
      </c>
      <c r="X15" s="6">
        <f>VLOOKUP(Q15,'Desl. Base Caxias do Sul'!$C$5:$Q$14,14,FALSE())</f>
        <v>15.8</v>
      </c>
      <c r="Y15" s="6">
        <f>VLOOKUP(Q15,'Desl. Base Caxias do Sul'!$C$5:$Q$14,13,FALSE())*'Desl. Base Caxias do Sul'!$E$19+'Desl. Base Caxias do Sul'!$E$20*N15/12</f>
        <v>177.24916666666664</v>
      </c>
      <c r="Z15" s="6">
        <f>(H15/$AC$5)*'Equipe Técnica'!$C$13</f>
        <v>272.49997966901145</v>
      </c>
      <c r="AA15" s="6">
        <f>(I15/$AC$5)*'Equipe Técnica'!$C$13</f>
        <v>326.99997560281378</v>
      </c>
      <c r="AB15" s="6">
        <f>(L15/$AC$5)*'Equipe Técnica'!$C$13</f>
        <v>299.74997763591261</v>
      </c>
      <c r="AC15" s="6">
        <f>(M15/$AC$5)*'Equipe Técnica'!$C$13</f>
        <v>844.74993697393552</v>
      </c>
      <c r="AD15" s="6">
        <f t="shared" si="12"/>
        <v>596.70208493216933</v>
      </c>
      <c r="AE15" s="6">
        <f t="shared" si="13"/>
        <v>671.41808086597166</v>
      </c>
      <c r="AF15" s="6">
        <f t="shared" si="14"/>
        <v>634.06008289907049</v>
      </c>
      <c r="AG15" s="6">
        <f t="shared" si="15"/>
        <v>1594.6860422370933</v>
      </c>
      <c r="AI15" s="73" t="str">
        <f t="shared" si="16"/>
        <v>APS CANELA</v>
      </c>
      <c r="AJ15" s="84">
        <f>VLOOKUP(AI15,Unidades!D$5:H$32,5,)</f>
        <v>0.2354</v>
      </c>
      <c r="AK15" s="82">
        <f t="shared" si="17"/>
        <v>737.16575572520208</v>
      </c>
      <c r="AL15" s="82">
        <f t="shared" si="18"/>
        <v>829.4698971018214</v>
      </c>
      <c r="AM15" s="82">
        <f t="shared" si="19"/>
        <v>783.31782641351174</v>
      </c>
      <c r="AN15" s="82">
        <f t="shared" si="20"/>
        <v>1970.075136579705</v>
      </c>
      <c r="AO15" s="82">
        <f t="shared" si="21"/>
        <v>1308.3816205430367</v>
      </c>
      <c r="AP15" s="82">
        <f t="shared" si="22"/>
        <v>3925.14486162911</v>
      </c>
      <c r="AQ15" s="82">
        <f t="shared" si="23"/>
        <v>5233.5264821721466</v>
      </c>
      <c r="AR15" s="86"/>
      <c r="AS15" s="108" t="s">
        <v>79</v>
      </c>
      <c r="AT15" s="267">
        <f>AT11+AT13</f>
        <v>429441.86584510223</v>
      </c>
      <c r="AU15" s="267"/>
      <c r="AV15" s="86"/>
      <c r="AW15" s="86"/>
    </row>
    <row r="16" spans="2:49" s="5" customFormat="1" ht="15" customHeight="1">
      <c r="B16" s="68" t="s">
        <v>209</v>
      </c>
      <c r="C16" s="69">
        <f>VLOOKUP($B16,Unidades!$D$5:$N$32,6,FALSE())</f>
        <v>436.8</v>
      </c>
      <c r="D16" s="69">
        <f>VLOOKUP($B16,Unidades!$D$5:$N$32,7,FALSE())</f>
        <v>342.01</v>
      </c>
      <c r="E16" s="69">
        <f>VLOOKUP($B16,Unidades!$D$5:$N$32,8,FALSE())</f>
        <v>94.79</v>
      </c>
      <c r="F16" s="69">
        <f>VLOOKUP($B16,Unidades!$D$5:$N$32,9,FALSE())</f>
        <v>0</v>
      </c>
      <c r="G16" s="69">
        <f t="shared" si="0"/>
        <v>375.18649999999997</v>
      </c>
      <c r="H16" s="70">
        <f t="shared" si="1"/>
        <v>1.5</v>
      </c>
      <c r="I16" s="70">
        <f t="shared" si="2"/>
        <v>1.7999999999999998</v>
      </c>
      <c r="J16" s="70" t="str">
        <f>VLOOKUP($B16,Unidades!$D$5:$N$32,10,FALSE())</f>
        <v>NÃO</v>
      </c>
      <c r="K16" s="70" t="str">
        <f>VLOOKUP($B16,Unidades!$D$5:$N$36,11,FALSE())</f>
        <v>NÃO</v>
      </c>
      <c r="L16" s="70">
        <f t="shared" si="3"/>
        <v>1.6500000000000001</v>
      </c>
      <c r="M16" s="70">
        <f t="shared" si="4"/>
        <v>1.6500000000000001</v>
      </c>
      <c r="N16" s="70">
        <f t="shared" si="5"/>
        <v>30.15</v>
      </c>
      <c r="O16" s="71">
        <f t="shared" si="6"/>
        <v>1523.7809999999999</v>
      </c>
      <c r="P16" s="32"/>
      <c r="Q16" s="73" t="str">
        <f t="shared" si="7"/>
        <v>APS TORRES</v>
      </c>
      <c r="R16" s="6">
        <f t="shared" si="8"/>
        <v>75.81</v>
      </c>
      <c r="S16" s="6">
        <f t="shared" si="9"/>
        <v>90.971999999999994</v>
      </c>
      <c r="T16" s="6">
        <f t="shared" si="10"/>
        <v>83.391000000000005</v>
      </c>
      <c r="U16" s="6">
        <f t="shared" si="11"/>
        <v>83.391000000000005</v>
      </c>
      <c r="V16" s="6">
        <f>VLOOKUP(Q16,'Desl. Base Caxias do Sul'!$C$5:$S$14,13,FALSE())*($C$20+$D$20+$E$20*(VLOOKUP(Q16,'Desl. Base Caxias do Sul'!$C$5:$S$14,17,FALSE())/12))</f>
        <v>243.43433333333331</v>
      </c>
      <c r="W16" s="6">
        <f>VLOOKUP(Q16,'Desl. Base Caxias do Sul'!$C$5:$S$14,15,FALSE())*(2+(VLOOKUP(Q16,'Desl. Base Caxias do Sul'!$C$5:$S$14,17,FALSE())/12))</f>
        <v>0</v>
      </c>
      <c r="X16" s="6">
        <f>VLOOKUP(Q16,'Desl. Base Caxias do Sul'!$C$5:$Q$14,14,FALSE())</f>
        <v>11.6</v>
      </c>
      <c r="Y16" s="6">
        <f>VLOOKUP(Q16,'Desl. Base Caxias do Sul'!$C$5:$Q$14,13,FALSE())*'Desl. Base Caxias do Sul'!$E$19+'Desl. Base Caxias do Sul'!$E$20*N16/12</f>
        <v>260.94437499999998</v>
      </c>
      <c r="Z16" s="6">
        <f>(H16/$AC$5)*'Equipe Técnica'!$C$13</f>
        <v>204.3749847517586</v>
      </c>
      <c r="AA16" s="6">
        <f>(I16/$AC$5)*'Equipe Técnica'!$C$13</f>
        <v>245.24998170211029</v>
      </c>
      <c r="AB16" s="6">
        <f>(L16/$AC$5)*'Equipe Técnica'!$C$13</f>
        <v>224.81248322693449</v>
      </c>
      <c r="AC16" s="6">
        <f>(M16/$AC$5)*'Equipe Técnica'!$C$13</f>
        <v>224.81248322693449</v>
      </c>
      <c r="AD16" s="6">
        <f t="shared" si="12"/>
        <v>606.06627422544284</v>
      </c>
      <c r="AE16" s="6">
        <f t="shared" si="13"/>
        <v>662.10327117579448</v>
      </c>
      <c r="AF16" s="6">
        <f t="shared" si="14"/>
        <v>634.08477270061871</v>
      </c>
      <c r="AG16" s="6">
        <f t="shared" si="15"/>
        <v>634.08477270061871</v>
      </c>
      <c r="AI16" s="73" t="str">
        <f t="shared" si="16"/>
        <v>APS TORRES</v>
      </c>
      <c r="AJ16" s="84">
        <f>VLOOKUP(AI16,Unidades!D$5:H$32,5,)</f>
        <v>0.2223</v>
      </c>
      <c r="AK16" s="82">
        <f t="shared" si="17"/>
        <v>740.79480698575878</v>
      </c>
      <c r="AL16" s="82">
        <f t="shared" si="18"/>
        <v>809.28882835817353</v>
      </c>
      <c r="AM16" s="82">
        <f t="shared" si="19"/>
        <v>775.04181767196621</v>
      </c>
      <c r="AN16" s="82">
        <f t="shared" si="20"/>
        <v>775.04181767196621</v>
      </c>
      <c r="AO16" s="82">
        <f t="shared" si="21"/>
        <v>1204.3182041898081</v>
      </c>
      <c r="AP16" s="82">
        <f t="shared" si="22"/>
        <v>3612.9546125694242</v>
      </c>
      <c r="AQ16" s="82">
        <f t="shared" si="23"/>
        <v>4817.2728167592322</v>
      </c>
      <c r="AR16" s="86"/>
      <c r="AS16" s="86"/>
      <c r="AT16" s="86"/>
      <c r="AU16" s="86"/>
      <c r="AV16" s="86"/>
      <c r="AW16" s="86"/>
    </row>
    <row r="17" spans="2:43" s="2" customFormat="1" ht="20.100000000000001" customHeight="1">
      <c r="B17" s="167" t="s">
        <v>80</v>
      </c>
      <c r="C17" s="101">
        <f t="shared" ref="C17:I17" si="24">SUM(C7:C16)</f>
        <v>9708.8799999999992</v>
      </c>
      <c r="D17" s="101">
        <f t="shared" si="24"/>
        <v>5997.4100000000008</v>
      </c>
      <c r="E17" s="101">
        <f t="shared" si="24"/>
        <v>2868.3900000000003</v>
      </c>
      <c r="F17" s="101">
        <f t="shared" si="24"/>
        <v>843.07999999999993</v>
      </c>
      <c r="G17" s="101">
        <f t="shared" si="24"/>
        <v>7085.6544999999996</v>
      </c>
      <c r="H17" s="102">
        <f t="shared" si="24"/>
        <v>17.5</v>
      </c>
      <c r="I17" s="102">
        <f t="shared" si="24"/>
        <v>21</v>
      </c>
      <c r="J17" s="102">
        <f>COUNTIF(J7:J16,"SIM")</f>
        <v>1</v>
      </c>
      <c r="K17" s="102">
        <f>COUNTIF(K7:K16,"SIM")</f>
        <v>2</v>
      </c>
      <c r="L17" s="102">
        <f>SUM(L7:L16)</f>
        <v>21.25</v>
      </c>
      <c r="M17" s="102">
        <f>SUM(M7:M16)</f>
        <v>29.249999999999996</v>
      </c>
      <c r="N17" s="102">
        <f>SUM(N7:N16)</f>
        <v>365.74999999999994</v>
      </c>
      <c r="O17" s="103">
        <f>SUM(O7:O16)</f>
        <v>19018.669999999998</v>
      </c>
      <c r="P17" s="35"/>
      <c r="Q17" s="102" t="s">
        <v>80</v>
      </c>
      <c r="R17" s="106">
        <f t="shared" ref="R17:AG17" si="25">SUM(R7:R16)</f>
        <v>884.45000000000027</v>
      </c>
      <c r="S17" s="106">
        <f t="shared" si="25"/>
        <v>1061.3399999999999</v>
      </c>
      <c r="T17" s="106">
        <f t="shared" si="25"/>
        <v>1073.9749999999999</v>
      </c>
      <c r="U17" s="106">
        <f t="shared" si="25"/>
        <v>2011.9600000000005</v>
      </c>
      <c r="V17" s="106">
        <f t="shared" si="25"/>
        <v>629.93318055555551</v>
      </c>
      <c r="W17" s="106">
        <f t="shared" si="25"/>
        <v>0</v>
      </c>
      <c r="X17" s="106">
        <f t="shared" si="25"/>
        <v>27.4</v>
      </c>
      <c r="Y17" s="106">
        <f t="shared" si="25"/>
        <v>832.7527083333332</v>
      </c>
      <c r="Z17" s="106">
        <f t="shared" si="25"/>
        <v>2384.3748221038504</v>
      </c>
      <c r="AA17" s="106">
        <f t="shared" si="25"/>
        <v>2861.24978652462</v>
      </c>
      <c r="AB17" s="106">
        <f t="shared" si="25"/>
        <v>2895.3122839832477</v>
      </c>
      <c r="AC17" s="106">
        <f t="shared" si="25"/>
        <v>3985.3122026592932</v>
      </c>
      <c r="AD17" s="106">
        <f t="shared" si="25"/>
        <v>4209.9316992968324</v>
      </c>
      <c r="AE17" s="106">
        <f t="shared" si="25"/>
        <v>4863.6966637176029</v>
      </c>
      <c r="AF17" s="106">
        <f t="shared" si="25"/>
        <v>4910.3941611762293</v>
      </c>
      <c r="AG17" s="106">
        <f t="shared" si="25"/>
        <v>6938.379079852275</v>
      </c>
      <c r="AI17" s="268" t="s">
        <v>80</v>
      </c>
      <c r="AJ17" s="268"/>
      <c r="AK17" s="107">
        <f t="shared" ref="AK17:AQ17" si="26">SUM(AK7:AK16)</f>
        <v>5209.8256700280044</v>
      </c>
      <c r="AL17" s="107">
        <f t="shared" si="26"/>
        <v>6019.7788202486936</v>
      </c>
      <c r="AM17" s="107">
        <f t="shared" si="26"/>
        <v>6081.291565751043</v>
      </c>
      <c r="AN17" s="107">
        <f t="shared" si="26"/>
        <v>8600.8600084426271</v>
      </c>
      <c r="AO17" s="107">
        <f t="shared" si="26"/>
        <v>8946.7055384396299</v>
      </c>
      <c r="AP17" s="107">
        <f t="shared" si="26"/>
        <v>26840.11661531889</v>
      </c>
      <c r="AQ17" s="107">
        <f t="shared" si="26"/>
        <v>35786.82215375852</v>
      </c>
    </row>
    <row r="18" spans="2:43" ht="18.399999999999999" customHeight="1">
      <c r="H18" s="36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27"/>
      <c r="AE18" s="27"/>
      <c r="AF18" s="27"/>
      <c r="AG18" s="27"/>
    </row>
    <row r="19" spans="2:43" ht="40.35" customHeight="1">
      <c r="B19" s="264" t="s">
        <v>24</v>
      </c>
      <c r="C19" s="98" t="s">
        <v>305</v>
      </c>
      <c r="D19" s="98" t="s">
        <v>306</v>
      </c>
      <c r="E19" s="98" t="s">
        <v>81</v>
      </c>
      <c r="R19" s="157"/>
      <c r="Z19" s="157"/>
      <c r="AA19" s="157"/>
      <c r="AB19" s="157"/>
      <c r="AC19" s="157"/>
    </row>
    <row r="20" spans="2:43" ht="18.399999999999999" customHeight="1">
      <c r="B20" s="264"/>
      <c r="C20" s="6">
        <f>'Comp. Oficial de Manutenção'!D11</f>
        <v>27.39</v>
      </c>
      <c r="D20" s="6">
        <v>23.15</v>
      </c>
      <c r="E20" s="6">
        <v>34.43</v>
      </c>
    </row>
    <row r="21" spans="2:43" ht="28.9" customHeight="1">
      <c r="B21" s="25" t="str">
        <f>'Equipe Técnica'!B9</f>
        <v>* Tabela SINAPI Outubro/2023 (Não Desonerado)</v>
      </c>
    </row>
    <row r="22" spans="2:43" ht="23.85" customHeight="1"/>
  </sheetData>
  <mergeCells count="44">
    <mergeCell ref="AT11:AU11"/>
    <mergeCell ref="AT12:AU12"/>
    <mergeCell ref="B19:B20"/>
    <mergeCell ref="AT13:AU13"/>
    <mergeCell ref="AT14:AU14"/>
    <mergeCell ref="AT15:AU15"/>
    <mergeCell ref="AI17:AJ17"/>
    <mergeCell ref="AO5:AO6"/>
    <mergeCell ref="AP5:AP6"/>
    <mergeCell ref="AQ5:AQ6"/>
    <mergeCell ref="AS5:AS6"/>
    <mergeCell ref="AT10:AU10"/>
    <mergeCell ref="AS4:AW4"/>
    <mergeCell ref="G5:G6"/>
    <mergeCell ref="N5:N6"/>
    <mergeCell ref="V5:V6"/>
    <mergeCell ref="W5:W6"/>
    <mergeCell ref="X5:X6"/>
    <mergeCell ref="Y5:Y6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B2:O2"/>
    <mergeCell ref="Z5:AB5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</mergeCells>
  <printOptions horizontalCentered="1" verticalCentered="1"/>
  <pageMargins left="7.8472222222222193E-2" right="3.8194444444444399E-2" top="0.196527777777778" bottom="0.196527777777778" header="0.51180555555555496" footer="0.51180555555555496"/>
  <pageSetup paperSize="9" pageOrder="overThenDown" orientation="portrait" useFirstPageNumber="1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FF"/>
  </sheetPr>
  <dimension ref="B1:IZ31"/>
  <sheetViews>
    <sheetView showGridLines="0" zoomScale="110" zoomScaleNormal="110" workbookViewId="0">
      <selection activeCell="R5" sqref="R5"/>
    </sheetView>
  </sheetViews>
  <sheetFormatPr defaultRowHeight="14.25"/>
  <cols>
    <col min="1" max="1" width="5.625" customWidth="1"/>
    <col min="2" max="2" width="12.625" style="38" customWidth="1"/>
    <col min="3" max="3" width="32.625" style="38" customWidth="1"/>
    <col min="4" max="13" width="9.625" style="38" customWidth="1"/>
    <col min="14" max="15" width="9.625" style="61" customWidth="1"/>
    <col min="16" max="17" width="9.625" style="38" customWidth="1"/>
    <col min="18" max="18" width="8.625" style="38" customWidth="1"/>
    <col min="19" max="19" width="14.875" style="38" customWidth="1"/>
    <col min="20" max="260" width="8.625" style="38" customWidth="1"/>
    <col min="261" max="1026" width="8.625" customWidth="1"/>
  </cols>
  <sheetData>
    <row r="1" spans="2:19" ht="15" customHeight="1"/>
    <row r="2" spans="2:19" ht="24.95" customHeight="1">
      <c r="B2" s="244" t="str">
        <f>"DESLOCAMENTO BASE "&amp;Resumo!B5</f>
        <v>DESLOCAMENTO BASE CAXIAS DO SUL</v>
      </c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6"/>
    </row>
    <row r="3" spans="2:19" ht="15" customHeigh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9" ht="38.1" customHeight="1">
      <c r="B4" s="10" t="s">
        <v>82</v>
      </c>
      <c r="C4" s="10" t="str">
        <f>"Rota (saída e retorno "&amp;Resumo!B5&amp;")"</f>
        <v>Rota (saída e retorno CAXIAS DO SUL)</v>
      </c>
      <c r="D4" s="10" t="s">
        <v>83</v>
      </c>
      <c r="E4" s="10" t="s">
        <v>84</v>
      </c>
      <c r="F4" s="10" t="s">
        <v>85</v>
      </c>
      <c r="G4" s="10" t="s">
        <v>86</v>
      </c>
      <c r="H4" s="10" t="s">
        <v>87</v>
      </c>
      <c r="I4" s="10" t="s">
        <v>88</v>
      </c>
      <c r="J4" s="10" t="s">
        <v>89</v>
      </c>
      <c r="K4" s="10" t="s">
        <v>90</v>
      </c>
      <c r="L4" s="10" t="s">
        <v>91</v>
      </c>
      <c r="M4" s="39" t="s">
        <v>92</v>
      </c>
      <c r="N4" s="10" t="s">
        <v>93</v>
      </c>
      <c r="O4" s="10" t="s">
        <v>94</v>
      </c>
      <c r="P4" s="10" t="s">
        <v>95</v>
      </c>
      <c r="Q4" s="10" t="s">
        <v>60</v>
      </c>
      <c r="R4" s="217" t="s">
        <v>307</v>
      </c>
      <c r="S4" s="217" t="s">
        <v>308</v>
      </c>
    </row>
    <row r="5" spans="2:19" ht="15.95" customHeight="1">
      <c r="B5" s="269">
        <v>1</v>
      </c>
      <c r="C5" s="81" t="s">
        <v>206</v>
      </c>
      <c r="D5" s="179">
        <v>0</v>
      </c>
      <c r="E5" s="179">
        <v>0</v>
      </c>
      <c r="F5" s="179">
        <v>0</v>
      </c>
      <c r="G5" s="46">
        <f>SUM(D5:F5)</f>
        <v>0</v>
      </c>
      <c r="H5" s="47">
        <v>0</v>
      </c>
      <c r="I5" s="47">
        <v>0</v>
      </c>
      <c r="J5" s="47">
        <v>0</v>
      </c>
      <c r="K5" s="48">
        <f>SUM(H5:J5)</f>
        <v>0</v>
      </c>
      <c r="L5" s="67">
        <f>K5/60</f>
        <v>0</v>
      </c>
      <c r="M5" s="49">
        <v>0</v>
      </c>
      <c r="N5" s="170">
        <v>1</v>
      </c>
      <c r="O5" s="168">
        <f>L5/N5</f>
        <v>0</v>
      </c>
      <c r="P5" s="44">
        <f>M5/N5</f>
        <v>0</v>
      </c>
      <c r="Q5" s="44">
        <v>0</v>
      </c>
      <c r="R5" s="218" t="str">
        <f>INDEX('Base Caxias do Sul'!$K$7:$K$16,MATCH('Desl. Base Caxias do Sul'!C5,'Base Caxias do Sul'!$B$7:$B$16,0))</f>
        <v>SIM</v>
      </c>
      <c r="S5" s="218">
        <v>1</v>
      </c>
    </row>
    <row r="6" spans="2:19" ht="15.95" customHeight="1">
      <c r="B6" s="270"/>
      <c r="C6" s="81" t="s">
        <v>204</v>
      </c>
      <c r="D6" s="179">
        <v>2</v>
      </c>
      <c r="E6" s="179">
        <v>2.2000000000000002</v>
      </c>
      <c r="F6" s="179">
        <v>0</v>
      </c>
      <c r="G6" s="46">
        <f>SUM(D6:F6)</f>
        <v>4.2</v>
      </c>
      <c r="H6" s="47">
        <v>6</v>
      </c>
      <c r="I6" s="47">
        <v>5</v>
      </c>
      <c r="J6" s="47">
        <v>0</v>
      </c>
      <c r="K6" s="48">
        <f>SUM(H6:J6)</f>
        <v>11</v>
      </c>
      <c r="L6" s="67">
        <f>K6/60</f>
        <v>0.18333333333333332</v>
      </c>
      <c r="M6" s="49">
        <v>0</v>
      </c>
      <c r="N6" s="170">
        <v>1</v>
      </c>
      <c r="O6" s="168">
        <f>L6/N6</f>
        <v>0.18333333333333332</v>
      </c>
      <c r="P6" s="44">
        <f>M6/N6</f>
        <v>0</v>
      </c>
      <c r="Q6" s="44">
        <v>0</v>
      </c>
      <c r="R6" s="218" t="str">
        <f>INDEX('Base Caxias do Sul'!$K$7:$K$16,MATCH('Desl. Base Caxias do Sul'!C6,'Base Caxias do Sul'!$B$7:$B$16,0))</f>
        <v>NÃO</v>
      </c>
      <c r="S6" s="218">
        <v>1</v>
      </c>
    </row>
    <row r="7" spans="2:19" ht="15.95" customHeight="1">
      <c r="B7" s="269">
        <v>2</v>
      </c>
      <c r="C7" s="81" t="s">
        <v>202</v>
      </c>
      <c r="D7" s="271">
        <v>0.7</v>
      </c>
      <c r="E7" s="271">
        <v>17.8</v>
      </c>
      <c r="F7" s="271">
        <v>18.100000000000001</v>
      </c>
      <c r="G7" s="272">
        <f>SUM(D7:F7)</f>
        <v>36.6</v>
      </c>
      <c r="H7" s="274">
        <v>2</v>
      </c>
      <c r="I7" s="274">
        <v>19</v>
      </c>
      <c r="J7" s="274">
        <v>22</v>
      </c>
      <c r="K7" s="276">
        <f>SUM(H7:J7)</f>
        <v>43</v>
      </c>
      <c r="L7" s="278">
        <f>K7/60</f>
        <v>0.71666666666666667</v>
      </c>
      <c r="M7" s="280">
        <v>0</v>
      </c>
      <c r="N7" s="282">
        <v>2</v>
      </c>
      <c r="O7" s="168">
        <f t="shared" ref="O7:O14" si="0">L7/N7</f>
        <v>0.35833333333333334</v>
      </c>
      <c r="P7" s="44">
        <f>M7/N7</f>
        <v>0</v>
      </c>
      <c r="Q7" s="44">
        <v>0</v>
      </c>
      <c r="R7" s="218" t="str">
        <f>INDEX('Base Caxias do Sul'!$K$7:$K$16,MATCH('Desl. Base Caxias do Sul'!C7,'Base Caxias do Sul'!$B$7:$B$16,0))</f>
        <v>NÃO</v>
      </c>
      <c r="S7" s="218">
        <v>0</v>
      </c>
    </row>
    <row r="8" spans="2:19" ht="15.95" customHeight="1">
      <c r="B8" s="270"/>
      <c r="C8" s="81" t="s">
        <v>198</v>
      </c>
      <c r="D8" s="271"/>
      <c r="E8" s="271"/>
      <c r="F8" s="271"/>
      <c r="G8" s="273"/>
      <c r="H8" s="275"/>
      <c r="I8" s="275"/>
      <c r="J8" s="275"/>
      <c r="K8" s="277"/>
      <c r="L8" s="279"/>
      <c r="M8" s="281"/>
      <c r="N8" s="283"/>
      <c r="O8" s="168">
        <f>O7</f>
        <v>0.35833333333333334</v>
      </c>
      <c r="P8" s="44">
        <f>P7</f>
        <v>0</v>
      </c>
      <c r="Q8" s="44">
        <v>0</v>
      </c>
      <c r="R8" s="218" t="str">
        <f>INDEX('Base Caxias do Sul'!$K$7:$K$16,MATCH('Desl. Base Caxias do Sul'!C8,'Base Caxias do Sul'!$B$7:$B$16,0))</f>
        <v>NÃO</v>
      </c>
      <c r="S8" s="218">
        <v>0</v>
      </c>
    </row>
    <row r="9" spans="2:19" ht="15.95" customHeight="1">
      <c r="B9" s="269">
        <v>3</v>
      </c>
      <c r="C9" s="81" t="s">
        <v>194</v>
      </c>
      <c r="D9" s="271">
        <v>43.6</v>
      </c>
      <c r="E9" s="271">
        <f>52.4-D9</f>
        <v>8.7999999999999972</v>
      </c>
      <c r="F9" s="271">
        <v>43.3</v>
      </c>
      <c r="G9" s="272">
        <f>SUM(D9:F9)</f>
        <v>95.699999999999989</v>
      </c>
      <c r="H9" s="274">
        <v>54</v>
      </c>
      <c r="I9" s="274">
        <v>12</v>
      </c>
      <c r="J9" s="274">
        <v>45</v>
      </c>
      <c r="K9" s="276">
        <f>SUM(H9:J9)</f>
        <v>111</v>
      </c>
      <c r="L9" s="278">
        <f>K9/60</f>
        <v>1.85</v>
      </c>
      <c r="M9" s="280">
        <v>0</v>
      </c>
      <c r="N9" s="282">
        <v>2</v>
      </c>
      <c r="O9" s="168">
        <f t="shared" si="0"/>
        <v>0.92500000000000004</v>
      </c>
      <c r="P9" s="44">
        <f>M9/N9</f>
        <v>0</v>
      </c>
      <c r="Q9" s="44">
        <v>0</v>
      </c>
      <c r="R9" s="218" t="str">
        <f>INDEX('Base Caxias do Sul'!$K$7:$K$16,MATCH('Desl. Base Caxias do Sul'!C9,'Base Caxias do Sul'!$B$7:$B$16,0))</f>
        <v>NÃO</v>
      </c>
      <c r="S9" s="218">
        <v>0</v>
      </c>
    </row>
    <row r="10" spans="2:19" ht="15.95" customHeight="1">
      <c r="B10" s="270"/>
      <c r="C10" s="81" t="s">
        <v>200</v>
      </c>
      <c r="D10" s="271"/>
      <c r="E10" s="271"/>
      <c r="F10" s="271"/>
      <c r="G10" s="273"/>
      <c r="H10" s="275"/>
      <c r="I10" s="275"/>
      <c r="J10" s="275"/>
      <c r="K10" s="277"/>
      <c r="L10" s="279"/>
      <c r="M10" s="281"/>
      <c r="N10" s="283"/>
      <c r="O10" s="168">
        <f>O9</f>
        <v>0.92500000000000004</v>
      </c>
      <c r="P10" s="44">
        <f>P9</f>
        <v>0</v>
      </c>
      <c r="Q10" s="44">
        <v>0</v>
      </c>
      <c r="R10" s="218" t="str">
        <f>INDEX('Base Caxias do Sul'!$K$7:$K$16,MATCH('Desl. Base Caxias do Sul'!C10,'Base Caxias do Sul'!$B$7:$B$16,0))</f>
        <v>NÃO</v>
      </c>
      <c r="S10" s="218">
        <v>0</v>
      </c>
    </row>
    <row r="11" spans="2:19" ht="15.95" customHeight="1">
      <c r="B11" s="269">
        <v>4</v>
      </c>
      <c r="C11" s="81" t="s">
        <v>190</v>
      </c>
      <c r="D11" s="271">
        <v>40.6</v>
      </c>
      <c r="E11" s="271">
        <f>63.1-D11</f>
        <v>22.5</v>
      </c>
      <c r="F11" s="271">
        <v>20.6</v>
      </c>
      <c r="G11" s="272">
        <f>SUM(D11:F11)</f>
        <v>83.7</v>
      </c>
      <c r="H11" s="274">
        <v>46</v>
      </c>
      <c r="I11" s="274">
        <v>31</v>
      </c>
      <c r="J11" s="274">
        <v>26</v>
      </c>
      <c r="K11" s="276">
        <f>SUM(H11:J11)</f>
        <v>103</v>
      </c>
      <c r="L11" s="278">
        <f>K11/60</f>
        <v>1.7166666666666666</v>
      </c>
      <c r="M11" s="280">
        <v>0</v>
      </c>
      <c r="N11" s="282">
        <v>2</v>
      </c>
      <c r="O11" s="168">
        <f t="shared" si="0"/>
        <v>0.85833333333333328</v>
      </c>
      <c r="P11" s="44">
        <f>M11/N11</f>
        <v>0</v>
      </c>
      <c r="Q11" s="44">
        <v>0</v>
      </c>
      <c r="R11" s="218" t="str">
        <f>INDEX('Base Caxias do Sul'!$K$7:$K$16,MATCH('Desl. Base Caxias do Sul'!C11,'Base Caxias do Sul'!$B$7:$B$16,0))</f>
        <v>NÃO</v>
      </c>
      <c r="S11" s="218">
        <v>0</v>
      </c>
    </row>
    <row r="12" spans="2:19" ht="15.95" customHeight="1">
      <c r="B12" s="270"/>
      <c r="C12" s="81" t="s">
        <v>196</v>
      </c>
      <c r="D12" s="271"/>
      <c r="E12" s="271"/>
      <c r="F12" s="271"/>
      <c r="G12" s="273"/>
      <c r="H12" s="275"/>
      <c r="I12" s="275"/>
      <c r="J12" s="275"/>
      <c r="K12" s="277"/>
      <c r="L12" s="279"/>
      <c r="M12" s="281"/>
      <c r="N12" s="283"/>
      <c r="O12" s="168">
        <f>O11</f>
        <v>0.85833333333333328</v>
      </c>
      <c r="P12" s="44">
        <f>P11</f>
        <v>0</v>
      </c>
      <c r="Q12" s="44">
        <v>0</v>
      </c>
      <c r="R12" s="218" t="str">
        <f>INDEX('Base Caxias do Sul'!$K$7:$K$16,MATCH('Desl. Base Caxias do Sul'!C12,'Base Caxias do Sul'!$B$7:$B$16,0))</f>
        <v>NÃO</v>
      </c>
      <c r="S12" s="218">
        <v>0</v>
      </c>
    </row>
    <row r="13" spans="2:19" ht="15.95" customHeight="1">
      <c r="B13" s="45">
        <v>5</v>
      </c>
      <c r="C13" s="81" t="s">
        <v>192</v>
      </c>
      <c r="D13" s="179">
        <v>77.400000000000006</v>
      </c>
      <c r="E13" s="179">
        <v>76.400000000000006</v>
      </c>
      <c r="F13" s="179">
        <v>0</v>
      </c>
      <c r="G13" s="46">
        <f>SUM(D13:F13)</f>
        <v>153.80000000000001</v>
      </c>
      <c r="H13" s="47">
        <v>94</v>
      </c>
      <c r="I13" s="47">
        <v>86</v>
      </c>
      <c r="J13" s="47">
        <v>0</v>
      </c>
      <c r="K13" s="48">
        <f>SUM(H13:J13)</f>
        <v>180</v>
      </c>
      <c r="L13" s="67">
        <f>K13/60</f>
        <v>3</v>
      </c>
      <c r="M13" s="49">
        <v>15.8</v>
      </c>
      <c r="N13" s="170">
        <v>1</v>
      </c>
      <c r="O13" s="168">
        <f t="shared" si="0"/>
        <v>3</v>
      </c>
      <c r="P13" s="44">
        <f>M13/N13</f>
        <v>15.8</v>
      </c>
      <c r="Q13" s="44">
        <v>0</v>
      </c>
      <c r="R13" s="218" t="str">
        <f>INDEX('Base Caxias do Sul'!$K$7:$K$16,MATCH('Desl. Base Caxias do Sul'!C13,'Base Caxias do Sul'!$B$7:$B$16,0))</f>
        <v>SIM</v>
      </c>
      <c r="S13" s="218">
        <v>1</v>
      </c>
    </row>
    <row r="14" spans="2:19" ht="15.95" customHeight="1">
      <c r="B14" s="40">
        <v>6</v>
      </c>
      <c r="C14" s="81" t="s">
        <v>209</v>
      </c>
      <c r="D14" s="179">
        <v>201</v>
      </c>
      <c r="E14" s="179">
        <v>201</v>
      </c>
      <c r="F14" s="179">
        <v>0</v>
      </c>
      <c r="G14" s="41">
        <f>SUM(D14:F14)</f>
        <v>402</v>
      </c>
      <c r="H14" s="42">
        <v>145</v>
      </c>
      <c r="I14" s="42">
        <v>144</v>
      </c>
      <c r="J14" s="42">
        <v>0</v>
      </c>
      <c r="K14" s="43">
        <f>SUM(H14:J14)</f>
        <v>289</v>
      </c>
      <c r="L14" s="50">
        <f>K14/60</f>
        <v>4.8166666666666664</v>
      </c>
      <c r="M14" s="44">
        <v>11.6</v>
      </c>
      <c r="N14" s="169">
        <v>1</v>
      </c>
      <c r="O14" s="168">
        <f t="shared" si="0"/>
        <v>4.8166666666666664</v>
      </c>
      <c r="P14" s="44">
        <f>M14/N14</f>
        <v>11.6</v>
      </c>
      <c r="Q14" s="44">
        <v>0</v>
      </c>
      <c r="R14" s="218" t="str">
        <f>INDEX('Base Caxias do Sul'!$K$7:$K$16,MATCH('Desl. Base Caxias do Sul'!C14,'Base Caxias do Sul'!$B$7:$B$16,0))</f>
        <v>NÃO</v>
      </c>
      <c r="S14" s="218">
        <v>0</v>
      </c>
    </row>
    <row r="15" spans="2:19" ht="20.100000000000001" customHeight="1">
      <c r="B15" s="288" t="s">
        <v>80</v>
      </c>
      <c r="C15" s="289"/>
      <c r="D15" s="289"/>
      <c r="E15" s="289"/>
      <c r="F15" s="290"/>
      <c r="G15" s="174">
        <f>SUM(G5:G14)</f>
        <v>776</v>
      </c>
      <c r="H15" s="291" t="s">
        <v>80</v>
      </c>
      <c r="I15" s="291"/>
      <c r="J15" s="291"/>
      <c r="K15" s="115">
        <f>SUM(K5:K14)</f>
        <v>737</v>
      </c>
      <c r="L15" s="116">
        <f>SUM(L5:L14)</f>
        <v>12.283333333333333</v>
      </c>
      <c r="M15" s="114">
        <f>SUM(M5:M14)</f>
        <v>27.4</v>
      </c>
      <c r="N15" s="117">
        <f>SUM(N5:N14)</f>
        <v>10</v>
      </c>
      <c r="O15" s="116"/>
      <c r="P15" s="114"/>
      <c r="Q15" s="114">
        <f>SUM(Q5:Q14)</f>
        <v>0</v>
      </c>
      <c r="R15" s="114"/>
      <c r="S15" s="114"/>
    </row>
    <row r="16" spans="2:19" ht="17.100000000000001" customHeight="1">
      <c r="B16" s="51"/>
      <c r="C16" s="51"/>
      <c r="D16" s="51"/>
      <c r="E16" s="51"/>
      <c r="F16" s="51"/>
    </row>
    <row r="17" spans="2:15" ht="18.75" customHeight="1">
      <c r="B17" s="292" t="s">
        <v>96</v>
      </c>
      <c r="C17" s="292"/>
      <c r="D17" s="292"/>
      <c r="E17" s="292"/>
      <c r="F17" s="51"/>
      <c r="G17" s="51"/>
      <c r="H17" s="51"/>
      <c r="I17" s="51"/>
      <c r="J17" s="51"/>
      <c r="K17" s="51"/>
      <c r="L17" s="51"/>
      <c r="M17" s="51"/>
      <c r="N17" s="53"/>
      <c r="O17" s="53"/>
    </row>
    <row r="18" spans="2:15" ht="18.75" customHeight="1">
      <c r="B18" s="126" t="s">
        <v>97</v>
      </c>
      <c r="C18" s="126" t="s">
        <v>98</v>
      </c>
      <c r="D18" s="126" t="s">
        <v>99</v>
      </c>
      <c r="E18" s="126" t="s">
        <v>100</v>
      </c>
      <c r="F18" s="51"/>
      <c r="G18" s="51"/>
      <c r="H18" s="53"/>
      <c r="I18" s="53"/>
      <c r="J18" s="51"/>
      <c r="K18" s="51"/>
      <c r="L18" s="51"/>
      <c r="M18" s="51"/>
      <c r="N18" s="53"/>
      <c r="O18" s="53"/>
    </row>
    <row r="19" spans="2:15" ht="18.75" customHeight="1">
      <c r="B19" s="119" t="s">
        <v>101</v>
      </c>
      <c r="C19" s="118" t="s">
        <v>102</v>
      </c>
      <c r="D19" s="119" t="s">
        <v>103</v>
      </c>
      <c r="E19" s="120">
        <f>'Comp. Veículo'!D11</f>
        <v>50.55</v>
      </c>
      <c r="F19" s="51"/>
      <c r="G19" s="51"/>
      <c r="H19" s="54"/>
      <c r="I19" s="54"/>
      <c r="J19" s="51"/>
      <c r="K19" s="51"/>
      <c r="L19" s="51"/>
      <c r="M19" s="51"/>
      <c r="N19" s="53"/>
      <c r="O19" s="53"/>
    </row>
    <row r="20" spans="2:15" ht="18.75" customHeight="1">
      <c r="B20" s="123" t="s">
        <v>104</v>
      </c>
      <c r="C20" s="124" t="s">
        <v>102</v>
      </c>
      <c r="D20" s="123" t="s">
        <v>105</v>
      </c>
      <c r="E20" s="125">
        <f>'Comp. Veículo'!D27</f>
        <v>6.95</v>
      </c>
      <c r="F20" s="51"/>
      <c r="G20" s="51"/>
      <c r="H20" s="54"/>
      <c r="I20" s="54"/>
      <c r="J20" s="51"/>
      <c r="K20" s="51"/>
      <c r="L20" s="51"/>
      <c r="M20" s="51"/>
      <c r="N20" s="53"/>
      <c r="O20" s="53"/>
    </row>
    <row r="21" spans="2:15" ht="47.25" customHeight="1">
      <c r="B21" s="284" t="s">
        <v>106</v>
      </c>
      <c r="C21" s="284"/>
      <c r="D21" s="284"/>
      <c r="E21" s="284"/>
      <c r="F21" s="122"/>
      <c r="G21" s="122"/>
      <c r="H21" s="122"/>
      <c r="I21" s="122"/>
      <c r="J21" s="122"/>
      <c r="K21" s="122"/>
      <c r="L21" s="122"/>
      <c r="M21" s="51"/>
      <c r="N21" s="53"/>
      <c r="O21" s="53"/>
    </row>
    <row r="22" spans="2:15" ht="16.5" customHeight="1">
      <c r="B22" s="74"/>
      <c r="C22" s="74"/>
      <c r="D22" s="74"/>
      <c r="E22" s="74"/>
      <c r="F22" s="122"/>
      <c r="G22" s="122"/>
      <c r="H22" s="122"/>
      <c r="I22" s="122"/>
      <c r="J22" s="122"/>
      <c r="K22" s="122"/>
      <c r="L22" s="122"/>
      <c r="M22" s="51"/>
      <c r="N22" s="53"/>
      <c r="O22" s="53"/>
    </row>
    <row r="23" spans="2:15" ht="17.100000000000001" customHeight="1">
      <c r="B23" s="285" t="s">
        <v>107</v>
      </c>
      <c r="C23" s="286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3"/>
      <c r="O23" s="53"/>
    </row>
    <row r="24" spans="2:15" ht="17.100000000000001" customHeight="1">
      <c r="B24" s="119" t="s">
        <v>103</v>
      </c>
      <c r="C24" s="120">
        <f>E19*L15</f>
        <v>620.92250000000001</v>
      </c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3"/>
      <c r="O24" s="53"/>
    </row>
    <row r="25" spans="2:15" ht="17.100000000000001" customHeight="1">
      <c r="B25" s="119" t="s">
        <v>105</v>
      </c>
      <c r="C25" s="120">
        <f>E20*('Base Caxias do Sul'!N17/12)</f>
        <v>211.8302083333333</v>
      </c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3"/>
      <c r="O25" s="53"/>
    </row>
    <row r="26" spans="2:15" ht="17.100000000000001" customHeight="1">
      <c r="B26" s="128" t="s">
        <v>22</v>
      </c>
      <c r="C26" s="127">
        <f>C24+C25</f>
        <v>832.75270833333332</v>
      </c>
      <c r="D26" s="51"/>
      <c r="E26" s="51"/>
      <c r="F26" s="51"/>
      <c r="G26" s="51"/>
      <c r="H26" s="51"/>
      <c r="I26" s="51"/>
      <c r="M26" s="51"/>
      <c r="N26" s="53"/>
      <c r="O26" s="53"/>
    </row>
    <row r="27" spans="2:15" ht="17.100000000000001" customHeight="1">
      <c r="B27" s="51"/>
      <c r="C27" s="55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3"/>
      <c r="O27" s="53"/>
    </row>
    <row r="28" spans="2:15" ht="17.100000000000001" customHeight="1">
      <c r="B28" s="287" t="s">
        <v>108</v>
      </c>
      <c r="C28" s="287"/>
      <c r="D28" s="51"/>
      <c r="J28" s="51"/>
      <c r="K28" s="51"/>
      <c r="L28" s="51"/>
      <c r="M28" s="51"/>
      <c r="N28" s="53"/>
      <c r="O28" s="53"/>
    </row>
    <row r="29" spans="2:15" ht="17.100000000000001" customHeight="1">
      <c r="B29" s="146" t="s">
        <v>100</v>
      </c>
      <c r="C29" s="129">
        <f>SUM(M5:M14)</f>
        <v>27.4</v>
      </c>
      <c r="J29" s="51"/>
      <c r="K29" s="51"/>
      <c r="L29" s="51"/>
      <c r="M29" s="51"/>
      <c r="N29" s="53"/>
      <c r="O29" s="53"/>
    </row>
    <row r="30" spans="2:15" ht="17.100000000000001" customHeight="1">
      <c r="B30" s="51"/>
      <c r="C30" s="56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3"/>
      <c r="O30" s="53"/>
    </row>
    <row r="31" spans="2:15">
      <c r="B31" s="131" t="s">
        <v>257</v>
      </c>
      <c r="C31" s="132"/>
    </row>
  </sheetData>
  <mergeCells count="44">
    <mergeCell ref="B21:E21"/>
    <mergeCell ref="B23:C23"/>
    <mergeCell ref="B28:C28"/>
    <mergeCell ref="B15:F15"/>
    <mergeCell ref="H15:J15"/>
    <mergeCell ref="B17:E17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H9:H10"/>
    <mergeCell ref="I9:I10"/>
    <mergeCell ref="J9:J10"/>
    <mergeCell ref="K9:K10"/>
    <mergeCell ref="L9:L10"/>
    <mergeCell ref="B9:B10"/>
    <mergeCell ref="D9:D10"/>
    <mergeCell ref="E9:E10"/>
    <mergeCell ref="F9:F10"/>
    <mergeCell ref="G9:G10"/>
    <mergeCell ref="B2:Q2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5:B6"/>
  </mergeCells>
  <printOptions horizontalCentered="1" verticalCentered="1"/>
  <pageMargins left="0.78749999999999998" right="0.78749999999999998" top="0.196527777777778" bottom="0.196527777777778" header="0.51180555555555496" footer="0.51180555555555496"/>
  <pageSetup paperSize="9" pageOrder="overThenDown" orientation="portrait" useFirstPageNumber="1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9FF66"/>
  </sheetPr>
  <dimension ref="B1:IV65541"/>
  <sheetViews>
    <sheetView showGridLines="0" zoomScale="110" zoomScaleNormal="110" workbookViewId="0">
      <selection activeCell="Y7" sqref="Y7"/>
    </sheetView>
  </sheetViews>
  <sheetFormatPr defaultRowHeight="14.25"/>
  <cols>
    <col min="1" max="1" width="5.625" customWidth="1"/>
    <col min="2" max="2" width="33.625" style="7" customWidth="1"/>
    <col min="3" max="15" width="12.625" style="7" customWidth="1"/>
    <col min="16" max="16" width="9.625" style="7" customWidth="1"/>
    <col min="17" max="17" width="31.625" style="7" bestFit="1" customWidth="1"/>
    <col min="18" max="33" width="11.5" style="7"/>
    <col min="34" max="34" width="11" style="7" customWidth="1"/>
    <col min="35" max="35" width="31.625" style="7" bestFit="1" customWidth="1"/>
    <col min="36" max="40" width="10.75" style="7" customWidth="1"/>
    <col min="41" max="41" width="14.5" style="7" customWidth="1"/>
    <col min="42" max="42" width="12.5" style="7" customWidth="1"/>
    <col min="43" max="43" width="14.25" style="7" customWidth="1"/>
    <col min="44" max="44" width="2.625" style="7" customWidth="1"/>
    <col min="45" max="45" width="28.125" style="7" bestFit="1" customWidth="1"/>
    <col min="46" max="46" width="12.75" style="7" customWidth="1"/>
    <col min="47" max="49" width="11.75" style="7" customWidth="1"/>
    <col min="50" max="66" width="10.75" style="7" customWidth="1"/>
    <col min="67" max="256" width="10.75" style="5" customWidth="1"/>
    <col min="257" max="1012" width="10.625" customWidth="1"/>
  </cols>
  <sheetData>
    <row r="1" spans="2:49" ht="15" customHeight="1"/>
    <row r="2" spans="2:49" s="28" customFormat="1" ht="24.95" customHeight="1">
      <c r="B2" s="255" t="str">
        <f>"BASE "&amp;Resumo!B6&amp;" - PLANILHA DE FORMAÇÃO DE PREÇOS"</f>
        <v>BASE NOVO HAMBURGO - PLANILHA DE FORMAÇÃO DE PREÇOS</v>
      </c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7"/>
      <c r="P2" s="2"/>
      <c r="Q2" s="249" t="str">
        <f>"BASE "&amp;Resumo!B6&amp;" – PLANILHA DE DISTRIBUIÇÃO DE CUSTOS POR UNIDADE"</f>
        <v>BASE NOVO HAMBURGO – PLANILHA DE DISTRIBUIÇÃO DE CUSTOS POR UNIDADE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1"/>
      <c r="AH2" s="1"/>
      <c r="AI2" s="261" t="str">
        <f>"BASE "&amp;Resumo!B6&amp;" – PLANILHA RESUMO DE CUSTOS DA BASE"</f>
        <v>BASE NOVO HAMBURGO – PLANILHA RESUMO DE CUSTOS DA BASE</v>
      </c>
      <c r="AJ2" s="262"/>
      <c r="AK2" s="262"/>
      <c r="AL2" s="262"/>
      <c r="AM2" s="262"/>
      <c r="AN2" s="262"/>
      <c r="AO2" s="262"/>
      <c r="AP2" s="262"/>
      <c r="AQ2" s="262"/>
      <c r="AR2" s="262"/>
      <c r="AS2" s="262"/>
      <c r="AT2" s="262"/>
      <c r="AU2" s="262"/>
      <c r="AV2" s="262"/>
      <c r="AW2" s="263"/>
    </row>
    <row r="3" spans="2:49" ht="15" customHeight="1"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</row>
    <row r="4" spans="2:49" ht="20.100000000000001" customHeight="1">
      <c r="B4" s="293" t="s">
        <v>34</v>
      </c>
      <c r="C4" s="264" t="s">
        <v>35</v>
      </c>
      <c r="D4" s="264"/>
      <c r="E4" s="264"/>
      <c r="F4" s="264"/>
      <c r="G4" s="264"/>
      <c r="H4" s="264" t="s">
        <v>36</v>
      </c>
      <c r="I4" s="264"/>
      <c r="J4" s="264"/>
      <c r="K4" s="264"/>
      <c r="L4" s="264"/>
      <c r="M4" s="264"/>
      <c r="N4" s="264"/>
      <c r="O4" s="264" t="s">
        <v>22</v>
      </c>
      <c r="P4" s="2"/>
      <c r="Q4" s="293" t="s">
        <v>37</v>
      </c>
      <c r="R4" s="265" t="s">
        <v>38</v>
      </c>
      <c r="S4" s="265"/>
      <c r="T4" s="265"/>
      <c r="U4" s="265"/>
      <c r="V4" s="265" t="s">
        <v>39</v>
      </c>
      <c r="W4" s="265"/>
      <c r="X4" s="265"/>
      <c r="Y4" s="265"/>
      <c r="Z4" s="265" t="s">
        <v>40</v>
      </c>
      <c r="AA4" s="265"/>
      <c r="AB4" s="265"/>
      <c r="AC4" s="265"/>
      <c r="AD4" s="265" t="s">
        <v>41</v>
      </c>
      <c r="AE4" s="265"/>
      <c r="AF4" s="265"/>
      <c r="AG4" s="265"/>
      <c r="AH4" s="27"/>
      <c r="AI4" s="293" t="s">
        <v>37</v>
      </c>
      <c r="AJ4" s="266" t="s">
        <v>42</v>
      </c>
      <c r="AK4" s="266"/>
      <c r="AL4" s="266"/>
      <c r="AM4" s="266"/>
      <c r="AN4" s="266"/>
      <c r="AO4" s="266" t="s">
        <v>43</v>
      </c>
      <c r="AP4" s="266"/>
      <c r="AQ4" s="266"/>
      <c r="AR4" s="29"/>
      <c r="AS4" s="266" t="str">
        <f>"Resumo de Custos da Base "&amp;Resumo!B6</f>
        <v>Resumo de Custos da Base NOVO HAMBURGO</v>
      </c>
      <c r="AT4" s="266"/>
      <c r="AU4" s="266"/>
      <c r="AV4" s="266"/>
      <c r="AW4" s="266"/>
    </row>
    <row r="5" spans="2:49" ht="39.950000000000003" customHeight="1">
      <c r="B5" s="293"/>
      <c r="C5" s="99" t="s">
        <v>22</v>
      </c>
      <c r="D5" s="99" t="s">
        <v>44</v>
      </c>
      <c r="E5" s="99" t="s">
        <v>45</v>
      </c>
      <c r="F5" s="99" t="s">
        <v>46</v>
      </c>
      <c r="G5" s="264" t="s">
        <v>47</v>
      </c>
      <c r="H5" s="99" t="s">
        <v>48</v>
      </c>
      <c r="I5" s="99" t="s">
        <v>49</v>
      </c>
      <c r="J5" s="99" t="s">
        <v>50</v>
      </c>
      <c r="K5" s="99" t="s">
        <v>51</v>
      </c>
      <c r="L5" s="99" t="s">
        <v>52</v>
      </c>
      <c r="M5" s="99" t="s">
        <v>53</v>
      </c>
      <c r="N5" s="264" t="s">
        <v>54</v>
      </c>
      <c r="O5" s="264"/>
      <c r="P5" s="2"/>
      <c r="Q5" s="293"/>
      <c r="R5" s="104" t="s">
        <v>55</v>
      </c>
      <c r="S5" s="104" t="s">
        <v>56</v>
      </c>
      <c r="T5" s="104" t="s">
        <v>57</v>
      </c>
      <c r="U5" s="104" t="s">
        <v>58</v>
      </c>
      <c r="V5" s="293" t="s">
        <v>59</v>
      </c>
      <c r="W5" s="293" t="s">
        <v>60</v>
      </c>
      <c r="X5" s="293" t="s">
        <v>61</v>
      </c>
      <c r="Y5" s="293" t="s">
        <v>62</v>
      </c>
      <c r="Z5" s="258" t="s">
        <v>63</v>
      </c>
      <c r="AA5" s="259"/>
      <c r="AB5" s="260"/>
      <c r="AC5" s="104">
        <f>N29+'Base Caxias do Sul'!N17</f>
        <v>1229.6500000000001</v>
      </c>
      <c r="AD5" s="265" t="s">
        <v>55</v>
      </c>
      <c r="AE5" s="265" t="s">
        <v>56</v>
      </c>
      <c r="AF5" s="265" t="s">
        <v>57</v>
      </c>
      <c r="AG5" s="265" t="s">
        <v>58</v>
      </c>
      <c r="AH5" s="19"/>
      <c r="AI5" s="293"/>
      <c r="AJ5" s="265" t="s">
        <v>64</v>
      </c>
      <c r="AK5" s="265" t="s">
        <v>55</v>
      </c>
      <c r="AL5" s="265" t="s">
        <v>56</v>
      </c>
      <c r="AM5" s="265" t="s">
        <v>57</v>
      </c>
      <c r="AN5" s="265" t="s">
        <v>58</v>
      </c>
      <c r="AO5" s="265" t="s">
        <v>65</v>
      </c>
      <c r="AP5" s="265" t="s">
        <v>66</v>
      </c>
      <c r="AQ5" s="265" t="s">
        <v>67</v>
      </c>
      <c r="AR5" s="27"/>
      <c r="AS5" s="265" t="s">
        <v>68</v>
      </c>
      <c r="AT5" s="105" t="s">
        <v>55</v>
      </c>
      <c r="AU5" s="105" t="s">
        <v>56</v>
      </c>
      <c r="AV5" s="105" t="s">
        <v>57</v>
      </c>
      <c r="AW5" s="105" t="s">
        <v>58</v>
      </c>
    </row>
    <row r="6" spans="2:49" ht="20.100000000000001" customHeight="1">
      <c r="B6" s="293"/>
      <c r="C6" s="100" t="s">
        <v>69</v>
      </c>
      <c r="D6" s="100">
        <v>1</v>
      </c>
      <c r="E6" s="100">
        <v>0.35</v>
      </c>
      <c r="F6" s="100">
        <v>0.1</v>
      </c>
      <c r="G6" s="264"/>
      <c r="H6" s="100">
        <v>1</v>
      </c>
      <c r="I6" s="100">
        <v>1.2</v>
      </c>
      <c r="J6" s="100">
        <v>2</v>
      </c>
      <c r="K6" s="100">
        <v>4</v>
      </c>
      <c r="L6" s="100">
        <v>1.1000000000000001</v>
      </c>
      <c r="M6" s="100">
        <v>1.1000000000000001</v>
      </c>
      <c r="N6" s="264"/>
      <c r="O6" s="264"/>
      <c r="P6" s="30"/>
      <c r="Q6" s="293"/>
      <c r="R6" s="110" t="s">
        <v>70</v>
      </c>
      <c r="S6" s="110" t="s">
        <v>71</v>
      </c>
      <c r="T6" s="110" t="s">
        <v>72</v>
      </c>
      <c r="U6" s="110" t="s">
        <v>73</v>
      </c>
      <c r="V6" s="293"/>
      <c r="W6" s="293"/>
      <c r="X6" s="293"/>
      <c r="Y6" s="293"/>
      <c r="Z6" s="111" t="s">
        <v>55</v>
      </c>
      <c r="AA6" s="111" t="s">
        <v>56</v>
      </c>
      <c r="AB6" s="111" t="s">
        <v>57</v>
      </c>
      <c r="AC6" s="111" t="s">
        <v>58</v>
      </c>
      <c r="AD6" s="265"/>
      <c r="AE6" s="265"/>
      <c r="AF6" s="265"/>
      <c r="AG6" s="265"/>
      <c r="AH6" s="27"/>
      <c r="AI6" s="293"/>
      <c r="AJ6" s="265"/>
      <c r="AK6" s="265"/>
      <c r="AL6" s="265"/>
      <c r="AM6" s="265"/>
      <c r="AN6" s="265"/>
      <c r="AO6" s="265"/>
      <c r="AP6" s="265"/>
      <c r="AQ6" s="265"/>
      <c r="AR6" s="31"/>
      <c r="AS6" s="265"/>
      <c r="AT6" s="94" t="s">
        <v>70</v>
      </c>
      <c r="AU6" s="94" t="s">
        <v>71</v>
      </c>
      <c r="AV6" s="94" t="s">
        <v>72</v>
      </c>
      <c r="AW6" s="94" t="s">
        <v>73</v>
      </c>
    </row>
    <row r="7" spans="2:49" ht="15" customHeight="1">
      <c r="B7" s="73" t="s">
        <v>246</v>
      </c>
      <c r="C7" s="69">
        <f>VLOOKUP($B7,Unidades!$D$5:$N$36,6,FALSE())</f>
        <v>2966.29</v>
      </c>
      <c r="D7" s="69">
        <f>VLOOKUP($B7,Unidades!$D$5:$N$36,7,FALSE())</f>
        <v>585.4</v>
      </c>
      <c r="E7" s="69">
        <f>VLOOKUP($B7,Unidades!$D$5:$N$36,8,FALSE())</f>
        <v>2380.89</v>
      </c>
      <c r="F7" s="69">
        <f>VLOOKUP($B7,Unidades!$D$5:$N$36,9,FALSE())</f>
        <v>0</v>
      </c>
      <c r="G7" s="69">
        <f t="shared" ref="G7:G28" si="0">D7+$E$6*E7+$F$6*F7</f>
        <v>1418.7114999999999</v>
      </c>
      <c r="H7" s="70">
        <f t="shared" ref="H7:H28" si="1">IF(G7&lt;750,1.5,IF(G7&lt;2000,2,3))</f>
        <v>2</v>
      </c>
      <c r="I7" s="70">
        <f t="shared" ref="I7:I28" si="2">$I$6*H7</f>
        <v>2.4</v>
      </c>
      <c r="J7" s="70" t="str">
        <f>VLOOKUP($B7,Unidades!$D$5:$N$36,10,FALSE())</f>
        <v>SIM</v>
      </c>
      <c r="K7" s="70" t="str">
        <f>VLOOKUP($B7,Unidades!$D$5:$N$36,11,FALSE())</f>
        <v>NÃO</v>
      </c>
      <c r="L7" s="70">
        <f t="shared" ref="L7:L28" si="3">$L$6*H7+(IF(J7="SIM",$J$6,0))</f>
        <v>4.2</v>
      </c>
      <c r="M7" s="70">
        <f t="shared" ref="M7:M28" si="4">$M$6*H7+(IF(J7="SIM",$J$6,0))+(IF(K7="SIM",$K$6,0))</f>
        <v>4.2</v>
      </c>
      <c r="N7" s="70">
        <f t="shared" ref="N7:N28" si="5">H7*12+I7*4+L7*2+M7</f>
        <v>46.2</v>
      </c>
      <c r="O7" s="71">
        <f t="shared" ref="O7:O28" si="6">IF(K7="não", N7*(C$32+D$32),N7*(C$32+D$32)+(M7*+E$32))</f>
        <v>2334.9480000000003</v>
      </c>
      <c r="P7" s="32"/>
      <c r="Q7" s="73" t="str">
        <f t="shared" ref="Q7:Q28" si="7">B7</f>
        <v>GEX NOVO HAMBURGO</v>
      </c>
      <c r="R7" s="6">
        <f>H7*($C$32+$D$32)</f>
        <v>101.08</v>
      </c>
      <c r="S7" s="6">
        <f>I7*($C$32+$D$32)</f>
        <v>121.29599999999999</v>
      </c>
      <c r="T7" s="6">
        <f>L7*($C$32+$D$32)</f>
        <v>212.268</v>
      </c>
      <c r="U7" s="6">
        <f>IF(K7="não",M7*($C$32+$D$32),M7*(C$32+D$32+E$32))</f>
        <v>212.268</v>
      </c>
      <c r="V7" s="6">
        <f>VLOOKUP(Q7,'Desl. Base Novo Hamburgo'!$C$5:$S$26,13,FALSE())*($C$32+$D$32+$E$32*(VLOOKUP(Q7,'Desl. Base Novo Hamburgo'!$C$5:$S$26,17,FALSE())/12))</f>
        <v>0</v>
      </c>
      <c r="W7" s="6">
        <f>VLOOKUP(Q7,'Desl. Base Novo Hamburgo'!$C$5:$S$26,15,FALSE())*(2+(VLOOKUP(Q7,'Desl. Base Novo Hamburgo'!$C$5:$S$26,17,FALSE())/12))</f>
        <v>0</v>
      </c>
      <c r="X7" s="6">
        <f>VLOOKUP(Q7,'Desl. Base Novo Hamburgo'!$C$5:$Q$26,14,FALSE())</f>
        <v>0</v>
      </c>
      <c r="Y7" s="6">
        <f>VLOOKUP(Q7,'Desl. Base Novo Hamburgo'!$C$5:Q$26,13,FALSE())*'Desl. Base Novo Hamburgo'!$E$31+'Desl. Base Novo Hamburgo'!$E$32*N7/12</f>
        <v>26.757500000000004</v>
      </c>
      <c r="Z7" s="6">
        <f>(H7/$AC$5)*'Equipe Técnica'!$C$13</f>
        <v>272.49997966901145</v>
      </c>
      <c r="AA7" s="6">
        <f>(I7/$AC$5)*'Equipe Técnica'!$C$13</f>
        <v>326.99997560281378</v>
      </c>
      <c r="AB7" s="6">
        <f>(L7/$AC$5)*'Equipe Técnica'!$C$13</f>
        <v>572.24995730492412</v>
      </c>
      <c r="AC7" s="6">
        <f>(M7/$AC$5)*'Equipe Técnica'!$C$13</f>
        <v>572.24995730492412</v>
      </c>
      <c r="AD7" s="6">
        <f t="shared" ref="AD7" si="8">R7+(($V7+$W7+$X7+$Y7)*12/19)+$Z7</f>
        <v>390.47945335322197</v>
      </c>
      <c r="AE7" s="6">
        <f t="shared" ref="AE7" si="9">S7+(($V7+$W7+$X7+$Y7)*12/19)+$AA7</f>
        <v>465.1954492870243</v>
      </c>
      <c r="AF7" s="6">
        <f t="shared" ref="AF7" si="10">T7+(($V7+$W7+$X7+$Y7)*12/19)+$AB7</f>
        <v>801.41743098913469</v>
      </c>
      <c r="AG7" s="6">
        <f t="shared" ref="AG7" si="11">U7+(($V7+$W7+$X7+$Y7)*12/19)+$AC7</f>
        <v>801.41743098913469</v>
      </c>
      <c r="AH7" s="33"/>
      <c r="AI7" s="73" t="str">
        <f t="shared" ref="AI7:AI28" si="12">B7</f>
        <v>GEX NOVO HAMBURGO</v>
      </c>
      <c r="AJ7" s="84">
        <f>VLOOKUP(AI7,Unidades!D$5:H$36,5,)</f>
        <v>0.2223</v>
      </c>
      <c r="AK7" s="82">
        <f t="shared" ref="AK7" si="13">AD7*(1+$AJ7)</f>
        <v>477.28303583364317</v>
      </c>
      <c r="AL7" s="82">
        <f t="shared" ref="AL7" si="14">AE7*(1+$AJ7)</f>
        <v>568.60839766352979</v>
      </c>
      <c r="AM7" s="82">
        <f t="shared" ref="AM7" si="15">AF7*(1+$AJ7)</f>
        <v>979.57252589801931</v>
      </c>
      <c r="AN7" s="82">
        <f t="shared" ref="AN7" si="16">AG7*(1+$AJ7)</f>
        <v>979.57252589801931</v>
      </c>
      <c r="AO7" s="82">
        <f t="shared" ref="AO7" si="17">((AK7*12)+(AL7*4)+(AM7*2)+AN7)/12</f>
        <v>911.71229986265791</v>
      </c>
      <c r="AP7" s="82">
        <f t="shared" ref="AP7" si="18">AO7*3</f>
        <v>2735.1368995879739</v>
      </c>
      <c r="AQ7" s="82">
        <f t="shared" ref="AQ7" si="19">AO7+AP7</f>
        <v>3646.8491994506317</v>
      </c>
      <c r="AR7" s="86"/>
      <c r="AS7" s="87" t="s">
        <v>74</v>
      </c>
      <c r="AT7" s="82">
        <f>AK29</f>
        <v>11516.22923149234</v>
      </c>
      <c r="AU7" s="82">
        <f>AL29</f>
        <v>13307.470518009313</v>
      </c>
      <c r="AV7" s="82">
        <f>AM29</f>
        <v>14243.213651084254</v>
      </c>
      <c r="AW7" s="82">
        <f>AN29</f>
        <v>30845.580872393726</v>
      </c>
    </row>
    <row r="8" spans="2:49" ht="15" customHeight="1">
      <c r="B8" s="73" t="s">
        <v>228</v>
      </c>
      <c r="C8" s="69">
        <f>VLOOKUP($B8,Unidades!$D$5:$N$36,6,FALSE())</f>
        <v>726.75</v>
      </c>
      <c r="D8" s="69">
        <f>VLOOKUP($B8,Unidades!$D$5:$N$36,7,FALSE())</f>
        <v>644.1</v>
      </c>
      <c r="E8" s="69">
        <f>VLOOKUP($B8,Unidades!$D$5:$N$36,8,FALSE())</f>
        <v>82.65</v>
      </c>
      <c r="F8" s="69">
        <f>VLOOKUP($B8,Unidades!$D$5:$N$36,9,FALSE())</f>
        <v>0</v>
      </c>
      <c r="G8" s="69">
        <f t="shared" si="0"/>
        <v>673.02750000000003</v>
      </c>
      <c r="H8" s="70">
        <f t="shared" si="1"/>
        <v>1.5</v>
      </c>
      <c r="I8" s="70">
        <f t="shared" si="2"/>
        <v>1.7999999999999998</v>
      </c>
      <c r="J8" s="70" t="str">
        <f>VLOOKUP($B8,Unidades!$D$5:$N$36,10,FALSE())</f>
        <v>NÃO</v>
      </c>
      <c r="K8" s="70" t="str">
        <f>VLOOKUP($B8,Unidades!$D$5:$N$36,11,FALSE())</f>
        <v>NÃO</v>
      </c>
      <c r="L8" s="70">
        <f t="shared" si="3"/>
        <v>1.6500000000000001</v>
      </c>
      <c r="M8" s="70">
        <f t="shared" si="4"/>
        <v>1.6500000000000001</v>
      </c>
      <c r="N8" s="70">
        <f t="shared" si="5"/>
        <v>30.15</v>
      </c>
      <c r="O8" s="71">
        <f t="shared" si="6"/>
        <v>1523.7809999999999</v>
      </c>
      <c r="P8" s="32"/>
      <c r="Q8" s="73" t="str">
        <f t="shared" si="7"/>
        <v>APS NOVO HAMBURGO</v>
      </c>
      <c r="R8" s="6">
        <f t="shared" ref="R8:R28" si="20">H8*($C$32+$D$32)</f>
        <v>75.81</v>
      </c>
      <c r="S8" s="6">
        <f t="shared" ref="S8:S28" si="21">I8*($C$32+$D$32)</f>
        <v>90.971999999999994</v>
      </c>
      <c r="T8" s="6">
        <f t="shared" ref="T8:T28" si="22">L8*($C$32+$D$32)</f>
        <v>83.391000000000005</v>
      </c>
      <c r="U8" s="6">
        <f t="shared" ref="U8:U28" si="23">IF(K8="não",M8*($C$32+$D$32),M8*(C$32+D$32+E$32))</f>
        <v>83.391000000000005</v>
      </c>
      <c r="V8" s="6">
        <f>VLOOKUP(Q8,'Desl. Base Novo Hamburgo'!$C$5:$S$26,13,FALSE())*($C$32+$D$32+$E$32*(VLOOKUP(Q8,'Desl. Base Novo Hamburgo'!$C$5:$S$26,17,FALSE())/12))</f>
        <v>10.108000000000001</v>
      </c>
      <c r="W8" s="6">
        <f>VLOOKUP(Q8,'Desl. Base Novo Hamburgo'!$C$5:$S$26,15,FALSE())*(2+(VLOOKUP(Q8,'Desl. Base Novo Hamburgo'!$C$5:$S$26,17,FALSE())/12))</f>
        <v>0</v>
      </c>
      <c r="X8" s="6">
        <f>VLOOKUP(Q8,'Desl. Base Novo Hamburgo'!$C$5:$Q$26,14,FALSE())</f>
        <v>0</v>
      </c>
      <c r="Y8" s="6">
        <f>VLOOKUP(Q8,'Desl. Base Novo Hamburgo'!$C$5:Q$26,13,FALSE())*'Desl. Base Novo Hamburgo'!$E$31+'Desl. Base Novo Hamburgo'!$E$32*N8/12</f>
        <v>27.571874999999999</v>
      </c>
      <c r="Z8" s="6">
        <f>(H8/$AC$5)*'Equipe Técnica'!$C$13</f>
        <v>204.3749847517586</v>
      </c>
      <c r="AA8" s="6">
        <f>(I8/$AC$5)*'Equipe Técnica'!$C$13</f>
        <v>245.24998170211029</v>
      </c>
      <c r="AB8" s="6">
        <f>(L8/$AC$5)*'Equipe Técnica'!$C$13</f>
        <v>224.81248322693449</v>
      </c>
      <c r="AC8" s="6">
        <f>(M8/$AC$5)*'Equipe Técnica'!$C$13</f>
        <v>224.81248322693449</v>
      </c>
      <c r="AD8" s="6">
        <f t="shared" ref="AD8:AD28" si="24">R8+(($V8+$W8+$X8+$Y8)*12/19)+$Z8</f>
        <v>303.98280054123228</v>
      </c>
      <c r="AE8" s="6">
        <f t="shared" ref="AE8:AE28" si="25">S8+(($V8+$W8+$X8+$Y8)*12/19)+$AA8</f>
        <v>360.01979749158397</v>
      </c>
      <c r="AF8" s="6">
        <f t="shared" ref="AF8:AF28" si="26">T8+(($V8+$W8+$X8+$Y8)*12/19)+$AB8</f>
        <v>332.00129901640821</v>
      </c>
      <c r="AG8" s="6">
        <f t="shared" ref="AG8:AG28" si="27">U8+(($V8+$W8+$X8+$Y8)*12/19)+$AC8</f>
        <v>332.00129901640821</v>
      </c>
      <c r="AH8" s="33"/>
      <c r="AI8" s="73" t="str">
        <f t="shared" si="12"/>
        <v>APS NOVO HAMBURGO</v>
      </c>
      <c r="AJ8" s="84">
        <f>VLOOKUP(AI8,Unidades!D$5:H$36,5,)</f>
        <v>0.2223</v>
      </c>
      <c r="AK8" s="82">
        <f t="shared" ref="AK8:AK28" si="28">AD8*(1+$AJ8)</f>
        <v>371.55817710154821</v>
      </c>
      <c r="AL8" s="82">
        <f t="shared" ref="AL8:AL28" si="29">AE8*(1+$AJ8)</f>
        <v>440.05219847396307</v>
      </c>
      <c r="AM8" s="82">
        <f t="shared" ref="AM8:AM28" si="30">AF8*(1+$AJ8)</f>
        <v>405.80518778775576</v>
      </c>
      <c r="AN8" s="82">
        <f t="shared" ref="AN8:AN28" si="31">AG8*(1+$AJ8)</f>
        <v>405.80518778775576</v>
      </c>
      <c r="AO8" s="82">
        <f t="shared" ref="AO8:AO28" si="32">((AK8*12)+(AL8*4)+(AM8*2)+AN8)/12</f>
        <v>619.69354020647484</v>
      </c>
      <c r="AP8" s="82">
        <f t="shared" ref="AP8:AP28" si="33">AO8*3</f>
        <v>1859.0806206194245</v>
      </c>
      <c r="AQ8" s="82">
        <f t="shared" ref="AQ8:AQ28" si="34">AO8+AP8</f>
        <v>2478.7741608258993</v>
      </c>
      <c r="AR8" s="86"/>
      <c r="AS8" s="87" t="s">
        <v>75</v>
      </c>
      <c r="AT8" s="82">
        <f>AT7*12</f>
        <v>138194.75077790808</v>
      </c>
      <c r="AU8" s="82">
        <f>AU7*4</f>
        <v>53229.882072037253</v>
      </c>
      <c r="AV8" s="82">
        <f>AV7*2</f>
        <v>28486.427302168508</v>
      </c>
      <c r="AW8" s="82">
        <f>AW7</f>
        <v>30845.580872393726</v>
      </c>
    </row>
    <row r="9" spans="2:49" ht="15" customHeight="1">
      <c r="B9" s="73" t="s">
        <v>214</v>
      </c>
      <c r="C9" s="69">
        <f>VLOOKUP($B9,Unidades!$D$5:$N$36,6,FALSE())</f>
        <v>827.93</v>
      </c>
      <c r="D9" s="69">
        <f>VLOOKUP($B9,Unidades!$D$5:$N$36,7,FALSE())</f>
        <v>237.41</v>
      </c>
      <c r="E9" s="69">
        <f>VLOOKUP($B9,Unidades!$D$5:$N$36,8,FALSE())</f>
        <v>561.57000000000005</v>
      </c>
      <c r="F9" s="69">
        <f>VLOOKUP($B9,Unidades!$D$5:$N$36,9,FALSE())</f>
        <v>28.95</v>
      </c>
      <c r="G9" s="69">
        <f t="shared" si="0"/>
        <v>436.85449999999997</v>
      </c>
      <c r="H9" s="70">
        <f t="shared" si="1"/>
        <v>1.5</v>
      </c>
      <c r="I9" s="70">
        <f t="shared" si="2"/>
        <v>1.7999999999999998</v>
      </c>
      <c r="J9" s="70" t="str">
        <f>VLOOKUP($B9,Unidades!$D$5:$N$36,10,FALSE())</f>
        <v>NÃO</v>
      </c>
      <c r="K9" s="70" t="str">
        <f>VLOOKUP($B9,Unidades!$D$5:$N$36,11,FALSE())</f>
        <v>SIM</v>
      </c>
      <c r="L9" s="70">
        <f t="shared" si="3"/>
        <v>1.6500000000000001</v>
      </c>
      <c r="M9" s="70">
        <f t="shared" si="4"/>
        <v>5.65</v>
      </c>
      <c r="N9" s="70">
        <f t="shared" si="5"/>
        <v>34.15</v>
      </c>
      <c r="O9" s="71">
        <f t="shared" si="6"/>
        <v>1920.4704999999999</v>
      </c>
      <c r="P9" s="32"/>
      <c r="Q9" s="73" t="str">
        <f t="shared" si="7"/>
        <v>APS CAMPO BOM</v>
      </c>
      <c r="R9" s="6">
        <f t="shared" si="20"/>
        <v>75.81</v>
      </c>
      <c r="S9" s="6">
        <f t="shared" si="21"/>
        <v>90.971999999999994</v>
      </c>
      <c r="T9" s="6">
        <f t="shared" si="22"/>
        <v>83.391000000000005</v>
      </c>
      <c r="U9" s="6">
        <f t="shared" si="23"/>
        <v>480.08050000000003</v>
      </c>
      <c r="V9" s="6">
        <f>VLOOKUP(Q9,'Desl. Base Novo Hamburgo'!$C$5:$S$26,13,FALSE())*($C$32+$D$32+$E$32*(VLOOKUP(Q9,'Desl. Base Novo Hamburgo'!$C$5:$S$26,17,FALSE())/12))</f>
        <v>14.242444444444443</v>
      </c>
      <c r="W9" s="6">
        <f>VLOOKUP(Q9,'Desl. Base Novo Hamburgo'!$C$5:$S$26,15,FALSE())*(2+(VLOOKUP(Q9,'Desl. Base Novo Hamburgo'!$C$5:$S$26,17,FALSE())/12))</f>
        <v>0</v>
      </c>
      <c r="X9" s="6">
        <f>VLOOKUP(Q9,'Desl. Base Novo Hamburgo'!$C$5:$Q$26,14,FALSE())</f>
        <v>0</v>
      </c>
      <c r="Y9" s="6">
        <f>VLOOKUP(Q9,'Desl. Base Novo Hamburgo'!$C$5:Q$26,13,FALSE())*'Desl. Base Novo Hamburgo'!$E$31+'Desl. Base Novo Hamburgo'!$E$32*N9/12</f>
        <v>33.258541666666666</v>
      </c>
      <c r="Z9" s="6">
        <f>(H9/$AC$5)*'Equipe Técnica'!$C$13</f>
        <v>204.3749847517586</v>
      </c>
      <c r="AA9" s="6">
        <f>(I9/$AC$5)*'Equipe Técnica'!$C$13</f>
        <v>245.24998170211029</v>
      </c>
      <c r="AB9" s="6">
        <f>(L9/$AC$5)*'Equipe Técnica'!$C$13</f>
        <v>224.81248322693449</v>
      </c>
      <c r="AC9" s="6">
        <f>(M9/$AC$5)*'Equipe Técnica'!$C$13</f>
        <v>769.81244256495745</v>
      </c>
      <c r="AD9" s="6">
        <f t="shared" si="24"/>
        <v>310.18560755877616</v>
      </c>
      <c r="AE9" s="6">
        <f t="shared" si="25"/>
        <v>366.22260450912785</v>
      </c>
      <c r="AF9" s="6">
        <f t="shared" si="26"/>
        <v>338.20410603395203</v>
      </c>
      <c r="AG9" s="6">
        <f t="shared" si="27"/>
        <v>1279.893565371975</v>
      </c>
      <c r="AH9" s="33"/>
      <c r="AI9" s="73" t="str">
        <f t="shared" si="12"/>
        <v>APS CAMPO BOM</v>
      </c>
      <c r="AJ9" s="84">
        <f>VLOOKUP(AI9,Unidades!D$5:H$36,5,)</f>
        <v>0.2223</v>
      </c>
      <c r="AK9" s="82">
        <f t="shared" si="28"/>
        <v>379.13986811909206</v>
      </c>
      <c r="AL9" s="82">
        <f t="shared" si="29"/>
        <v>447.63388949150692</v>
      </c>
      <c r="AM9" s="82">
        <f t="shared" si="30"/>
        <v>413.38687880529955</v>
      </c>
      <c r="AN9" s="82">
        <f t="shared" si="31"/>
        <v>1564.413904954165</v>
      </c>
      <c r="AO9" s="82">
        <f t="shared" si="32"/>
        <v>727.61680316332468</v>
      </c>
      <c r="AP9" s="82">
        <f t="shared" si="33"/>
        <v>2182.850409489974</v>
      </c>
      <c r="AQ9" s="82">
        <f t="shared" si="34"/>
        <v>2910.4672126532987</v>
      </c>
      <c r="AR9" s="86"/>
      <c r="AS9" s="86"/>
      <c r="AT9" s="85"/>
      <c r="AU9" s="85"/>
      <c r="AV9" s="85"/>
      <c r="AW9" s="85"/>
    </row>
    <row r="10" spans="2:49" ht="15" customHeight="1">
      <c r="B10" s="73" t="s">
        <v>212</v>
      </c>
      <c r="C10" s="69">
        <f>VLOOKUP($B10,Unidades!$D$5:$N$36,6,FALSE())</f>
        <v>3420.53</v>
      </c>
      <c r="D10" s="69">
        <f>VLOOKUP($B10,Unidades!$D$5:$N$36,7,FALSE())</f>
        <v>0</v>
      </c>
      <c r="E10" s="69">
        <f>VLOOKUP($B10,Unidades!$D$5:$N$36,8,FALSE())</f>
        <v>1660.46</v>
      </c>
      <c r="F10" s="69">
        <f>VLOOKUP($B10,Unidades!$D$5:$N$36,9,FALSE())</f>
        <v>1760.07</v>
      </c>
      <c r="G10" s="69">
        <f t="shared" si="0"/>
        <v>757.16799999999989</v>
      </c>
      <c r="H10" s="70">
        <f t="shared" si="1"/>
        <v>2</v>
      </c>
      <c r="I10" s="70">
        <f t="shared" si="2"/>
        <v>2.4</v>
      </c>
      <c r="J10" s="70" t="str">
        <f>VLOOKUP($B10,Unidades!$D$5:$N$36,10,FALSE())</f>
        <v>NÃO</v>
      </c>
      <c r="K10" s="70" t="str">
        <f>VLOOKUP($B10,Unidades!$D$5:$N$36,11,FALSE())</f>
        <v>SIM</v>
      </c>
      <c r="L10" s="70">
        <f t="shared" si="3"/>
        <v>2.2000000000000002</v>
      </c>
      <c r="M10" s="70">
        <f t="shared" si="4"/>
        <v>6.2</v>
      </c>
      <c r="N10" s="70">
        <f t="shared" si="5"/>
        <v>44.2</v>
      </c>
      <c r="O10" s="71">
        <f t="shared" si="6"/>
        <v>2447.3339999999998</v>
      </c>
      <c r="P10" s="32"/>
      <c r="Q10" s="73" t="str">
        <f t="shared" si="7"/>
        <v>DEPÓSITO NOVO HAMBURGO</v>
      </c>
      <c r="R10" s="6">
        <f t="shared" si="20"/>
        <v>101.08</v>
      </c>
      <c r="S10" s="6">
        <f t="shared" si="21"/>
        <v>121.29599999999999</v>
      </c>
      <c r="T10" s="6">
        <f t="shared" si="22"/>
        <v>111.188</v>
      </c>
      <c r="U10" s="6">
        <f t="shared" si="23"/>
        <v>526.81399999999996</v>
      </c>
      <c r="V10" s="6">
        <f>VLOOKUP(Q10,'Desl. Base Novo Hamburgo'!$C$5:$S$26,13,FALSE())*($C$32+$D$32+$E$32*(VLOOKUP(Q10,'Desl. Base Novo Hamburgo'!$C$5:$S$26,17,FALSE())/12))</f>
        <v>14.242444444444443</v>
      </c>
      <c r="W10" s="6">
        <f>VLOOKUP(Q10,'Desl. Base Novo Hamburgo'!$C$5:$S$26,15,FALSE())*(2+(VLOOKUP(Q10,'Desl. Base Novo Hamburgo'!$C$5:$S$26,17,FALSE())/12))</f>
        <v>0</v>
      </c>
      <c r="X10" s="6">
        <f>VLOOKUP(Q10,'Desl. Base Novo Hamburgo'!$C$5:$Q$26,14,FALSE())</f>
        <v>0</v>
      </c>
      <c r="Y10" s="6">
        <f>VLOOKUP(Q10,'Desl. Base Novo Hamburgo'!$C$5:Q$26,13,FALSE())*'Desl. Base Novo Hamburgo'!$E$31+'Desl. Base Novo Hamburgo'!$E$32*N10/12</f>
        <v>39.079166666666673</v>
      </c>
      <c r="Z10" s="6">
        <f>(H10/$AC$5)*'Equipe Técnica'!$C$13</f>
        <v>272.49997966901145</v>
      </c>
      <c r="AA10" s="6">
        <f>(I10/$AC$5)*'Equipe Técnica'!$C$13</f>
        <v>326.99997560281378</v>
      </c>
      <c r="AB10" s="6">
        <f>(L10/$AC$5)*'Equipe Técnica'!$C$13</f>
        <v>299.74997763591261</v>
      </c>
      <c r="AC10" s="6">
        <f>(M10/$AC$5)*'Equipe Técnica'!$C$13</f>
        <v>844.74993697393552</v>
      </c>
      <c r="AD10" s="6">
        <f t="shared" si="24"/>
        <v>407.2567866865553</v>
      </c>
      <c r="AE10" s="6">
        <f t="shared" si="25"/>
        <v>481.97278262035763</v>
      </c>
      <c r="AF10" s="6">
        <f t="shared" si="26"/>
        <v>444.61478465345647</v>
      </c>
      <c r="AG10" s="6">
        <f t="shared" si="27"/>
        <v>1405.2407439914793</v>
      </c>
      <c r="AH10" s="33"/>
      <c r="AI10" s="73" t="str">
        <f t="shared" si="12"/>
        <v>DEPÓSITO NOVO HAMBURGO</v>
      </c>
      <c r="AJ10" s="84">
        <f>VLOOKUP(AI10,Unidades!D$5:H$36,5,)</f>
        <v>0.2223</v>
      </c>
      <c r="AK10" s="82">
        <f t="shared" si="28"/>
        <v>497.78997036697655</v>
      </c>
      <c r="AL10" s="82">
        <f t="shared" si="29"/>
        <v>589.11533219686316</v>
      </c>
      <c r="AM10" s="82">
        <f t="shared" si="30"/>
        <v>543.45265128191977</v>
      </c>
      <c r="AN10" s="82">
        <f t="shared" si="31"/>
        <v>1717.6257613807852</v>
      </c>
      <c r="AO10" s="82">
        <f t="shared" si="32"/>
        <v>927.87266976131639</v>
      </c>
      <c r="AP10" s="82">
        <f t="shared" si="33"/>
        <v>2783.618009283949</v>
      </c>
      <c r="AQ10" s="82">
        <f t="shared" si="34"/>
        <v>3711.4906790452656</v>
      </c>
      <c r="AR10" s="86"/>
      <c r="AS10" s="108" t="s">
        <v>65</v>
      </c>
      <c r="AT10" s="267">
        <f>(SUM(AT8:AW8))/12</f>
        <v>20896.386752042297</v>
      </c>
      <c r="AU10" s="267"/>
      <c r="AV10" s="85"/>
      <c r="AW10" s="85"/>
    </row>
    <row r="11" spans="2:49" ht="15" customHeight="1">
      <c r="B11" s="73" t="s">
        <v>222</v>
      </c>
      <c r="C11" s="69">
        <f>VLOOKUP($B11,Unidades!$D$5:$N$36,6,FALSE())</f>
        <v>334.4</v>
      </c>
      <c r="D11" s="69">
        <f>VLOOKUP($B11,Unidades!$D$5:$N$36,7,FALSE())</f>
        <v>296</v>
      </c>
      <c r="E11" s="69">
        <f>VLOOKUP($B11,Unidades!$D$5:$N$36,8,FALSE())</f>
        <v>38.4</v>
      </c>
      <c r="F11" s="69">
        <f>VLOOKUP($B11,Unidades!$D$5:$N$36,9,FALSE())</f>
        <v>0</v>
      </c>
      <c r="G11" s="69">
        <f t="shared" ref="G11:G22" si="35">D11+$E$6*E11+$F$6*F11</f>
        <v>309.44</v>
      </c>
      <c r="H11" s="70">
        <f t="shared" ref="H11:H22" si="36">IF(G11&lt;750,1.5,IF(G11&lt;2000,2,3))</f>
        <v>1.5</v>
      </c>
      <c r="I11" s="70">
        <f t="shared" ref="I11:I22" si="37">$I$6*H11</f>
        <v>1.7999999999999998</v>
      </c>
      <c r="J11" s="70" t="str">
        <f>VLOOKUP($B11,Unidades!$D$5:$N$36,10,FALSE())</f>
        <v>NÃO</v>
      </c>
      <c r="K11" s="70" t="str">
        <f>VLOOKUP($B11,Unidades!$D$5:$N$36,11,FALSE())</f>
        <v>NÃO</v>
      </c>
      <c r="L11" s="70">
        <f t="shared" ref="L11:L22" si="38">$L$6*H11+(IF(J11="SIM",$J$6,0))</f>
        <v>1.6500000000000001</v>
      </c>
      <c r="M11" s="70">
        <f t="shared" ref="M11:M22" si="39">$M$6*H11+(IF(J11="SIM",$J$6,0))+(IF(K11="SIM",$K$6,0))</f>
        <v>1.6500000000000001</v>
      </c>
      <c r="N11" s="70">
        <f t="shared" ref="N11:N22" si="40">H11*12+I11*4+L11*2+M11</f>
        <v>30.15</v>
      </c>
      <c r="O11" s="71">
        <f t="shared" si="6"/>
        <v>1523.7809999999999</v>
      </c>
      <c r="P11" s="32"/>
      <c r="Q11" s="73" t="str">
        <f t="shared" si="7"/>
        <v>APS IGREJINHA</v>
      </c>
      <c r="R11" s="6">
        <f t="shared" si="20"/>
        <v>75.81</v>
      </c>
      <c r="S11" s="6">
        <f t="shared" si="21"/>
        <v>90.971999999999994</v>
      </c>
      <c r="T11" s="6">
        <f t="shared" si="22"/>
        <v>83.391000000000005</v>
      </c>
      <c r="U11" s="6">
        <f t="shared" si="23"/>
        <v>83.391000000000005</v>
      </c>
      <c r="V11" s="6">
        <f>VLOOKUP(Q11,'Desl. Base Novo Hamburgo'!$C$5:$S$26,13,FALSE())*($C$32+$D$32+$E$32*(VLOOKUP(Q11,'Desl. Base Novo Hamburgo'!$C$5:$S$26,17,FALSE())/12))</f>
        <v>50.118833333333335</v>
      </c>
      <c r="W11" s="6">
        <f>VLOOKUP(Q11,'Desl. Base Novo Hamburgo'!$C$5:$S$26,15,FALSE())*(2+(VLOOKUP(Q11,'Desl. Base Novo Hamburgo'!$C$5:$S$26,17,FALSE())/12))</f>
        <v>0</v>
      </c>
      <c r="X11" s="6">
        <f>VLOOKUP(Q11,'Desl. Base Novo Hamburgo'!$C$5:$Q$26,14,FALSE())</f>
        <v>3.25</v>
      </c>
      <c r="Y11" s="6">
        <f>VLOOKUP(Q11,'Desl. Base Novo Hamburgo'!$C$5:Q$26,13,FALSE())*'Desl. Base Novo Hamburgo'!$E$31+'Desl. Base Novo Hamburgo'!$E$32*N11/12</f>
        <v>67.590624999999989</v>
      </c>
      <c r="Z11" s="6">
        <f>(H11/$AC$5)*'Equipe Técnica'!$C$13</f>
        <v>204.3749847517586</v>
      </c>
      <c r="AA11" s="6">
        <f>(I11/$AC$5)*'Equipe Técnica'!$C$13</f>
        <v>245.24998170211029</v>
      </c>
      <c r="AB11" s="6">
        <f>(L11/$AC$5)*'Equipe Técnica'!$C$13</f>
        <v>224.81248322693449</v>
      </c>
      <c r="AC11" s="6">
        <f>(M11/$AC$5)*'Equipe Técnica'!$C$13</f>
        <v>224.81248322693449</v>
      </c>
      <c r="AD11" s="6">
        <f t="shared" si="24"/>
        <v>356.58043212017969</v>
      </c>
      <c r="AE11" s="6">
        <f t="shared" si="25"/>
        <v>412.61742907053133</v>
      </c>
      <c r="AF11" s="6">
        <f t="shared" si="26"/>
        <v>384.59893059535557</v>
      </c>
      <c r="AG11" s="6">
        <f t="shared" si="27"/>
        <v>384.59893059535557</v>
      </c>
      <c r="AH11" s="33"/>
      <c r="AI11" s="73" t="str">
        <f t="shared" si="12"/>
        <v>APS IGREJINHA</v>
      </c>
      <c r="AJ11" s="84">
        <f>VLOOKUP(AI11,Unidades!D$5:H$36,5,)</f>
        <v>0.2354</v>
      </c>
      <c r="AK11" s="82">
        <f t="shared" si="28"/>
        <v>440.51946584127001</v>
      </c>
      <c r="AL11" s="82">
        <f t="shared" si="29"/>
        <v>509.74757187373444</v>
      </c>
      <c r="AM11" s="82">
        <f t="shared" si="30"/>
        <v>475.13351885750228</v>
      </c>
      <c r="AN11" s="82">
        <f t="shared" si="31"/>
        <v>475.13351885750228</v>
      </c>
      <c r="AO11" s="82">
        <f t="shared" si="32"/>
        <v>729.21870284689055</v>
      </c>
      <c r="AP11" s="82">
        <f t="shared" si="33"/>
        <v>2187.6561085406715</v>
      </c>
      <c r="AQ11" s="82">
        <f t="shared" si="34"/>
        <v>2916.8748113875622</v>
      </c>
      <c r="AR11" s="86"/>
      <c r="AS11" s="108" t="s">
        <v>76</v>
      </c>
      <c r="AT11" s="267">
        <f>AT10*12</f>
        <v>250756.64102450758</v>
      </c>
      <c r="AU11" s="267"/>
      <c r="AV11" s="85"/>
      <c r="AW11" s="85"/>
    </row>
    <row r="12" spans="2:49" ht="15" customHeight="1">
      <c r="B12" s="73" t="s">
        <v>244</v>
      </c>
      <c r="C12" s="69">
        <f>VLOOKUP($B12,Unidades!$D$5:$N$36,6,FALSE())</f>
        <v>334.4</v>
      </c>
      <c r="D12" s="69">
        <f>VLOOKUP($B12,Unidades!$D$5:$N$36,7,FALSE())</f>
        <v>296</v>
      </c>
      <c r="E12" s="69">
        <f>VLOOKUP($B12,Unidades!$D$5:$N$36,8,FALSE())</f>
        <v>38.4</v>
      </c>
      <c r="F12" s="69">
        <f>VLOOKUP($B12,Unidades!$D$5:$N$36,9,FALSE())</f>
        <v>0</v>
      </c>
      <c r="G12" s="69">
        <f t="shared" si="35"/>
        <v>309.44</v>
      </c>
      <c r="H12" s="70">
        <f t="shared" si="36"/>
        <v>1.5</v>
      </c>
      <c r="I12" s="70">
        <f t="shared" si="37"/>
        <v>1.7999999999999998</v>
      </c>
      <c r="J12" s="70" t="str">
        <f>VLOOKUP($B12,Unidades!$D$5:$N$36,10,FALSE())</f>
        <v>NÃO</v>
      </c>
      <c r="K12" s="70" t="str">
        <f>VLOOKUP($B12,Unidades!$D$5:$N$36,11,FALSE())</f>
        <v>NÃO</v>
      </c>
      <c r="L12" s="70">
        <f t="shared" si="38"/>
        <v>1.6500000000000001</v>
      </c>
      <c r="M12" s="70">
        <f t="shared" si="39"/>
        <v>1.6500000000000001</v>
      </c>
      <c r="N12" s="70">
        <f t="shared" si="40"/>
        <v>30.15</v>
      </c>
      <c r="O12" s="71">
        <f t="shared" si="6"/>
        <v>1523.7809999999999</v>
      </c>
      <c r="P12" s="32"/>
      <c r="Q12" s="73" t="str">
        <f t="shared" si="7"/>
        <v>APS TRÊS COROAS</v>
      </c>
      <c r="R12" s="6">
        <f t="shared" si="20"/>
        <v>75.81</v>
      </c>
      <c r="S12" s="6">
        <f t="shared" si="21"/>
        <v>90.971999999999994</v>
      </c>
      <c r="T12" s="6">
        <f t="shared" si="22"/>
        <v>83.391000000000005</v>
      </c>
      <c r="U12" s="6">
        <f t="shared" si="23"/>
        <v>83.391000000000005</v>
      </c>
      <c r="V12" s="6">
        <f>VLOOKUP(Q12,'Desl. Base Novo Hamburgo'!$C$5:$S$26,13,FALSE())*($C$32+$D$32+$E$32*(VLOOKUP(Q12,'Desl. Base Novo Hamburgo'!$C$5:$S$26,17,FALSE())/12))</f>
        <v>50.118833333333335</v>
      </c>
      <c r="W12" s="6">
        <f>VLOOKUP(Q12,'Desl. Base Novo Hamburgo'!$C$5:$S$26,15,FALSE())*(2+(VLOOKUP(Q12,'Desl. Base Novo Hamburgo'!$C$5:$S$26,17,FALSE())/12))</f>
        <v>0</v>
      </c>
      <c r="X12" s="6">
        <f>VLOOKUP(Q12,'Desl. Base Novo Hamburgo'!$C$5:$Q$26,14,FALSE())</f>
        <v>3.25</v>
      </c>
      <c r="Y12" s="6">
        <f>VLOOKUP(Q12,'Desl. Base Novo Hamburgo'!$C$5:Q$26,13,FALSE())*'Desl. Base Novo Hamburgo'!$E$31+'Desl. Base Novo Hamburgo'!$E$32*N12/12</f>
        <v>67.590624999999989</v>
      </c>
      <c r="Z12" s="6">
        <f>(H12/$AC$5)*'Equipe Técnica'!$C$13</f>
        <v>204.3749847517586</v>
      </c>
      <c r="AA12" s="6">
        <f>(I12/$AC$5)*'Equipe Técnica'!$C$13</f>
        <v>245.24998170211029</v>
      </c>
      <c r="AB12" s="6">
        <f>(L12/$AC$5)*'Equipe Técnica'!$C$13</f>
        <v>224.81248322693449</v>
      </c>
      <c r="AC12" s="6">
        <f>(M12/$AC$5)*'Equipe Técnica'!$C$13</f>
        <v>224.81248322693449</v>
      </c>
      <c r="AD12" s="6">
        <f t="shared" si="24"/>
        <v>356.58043212017969</v>
      </c>
      <c r="AE12" s="6">
        <f t="shared" si="25"/>
        <v>412.61742907053133</v>
      </c>
      <c r="AF12" s="6">
        <f t="shared" si="26"/>
        <v>384.59893059535557</v>
      </c>
      <c r="AG12" s="6">
        <f t="shared" si="27"/>
        <v>384.59893059535557</v>
      </c>
      <c r="AH12" s="33"/>
      <c r="AI12" s="73" t="str">
        <f t="shared" si="12"/>
        <v>APS TRÊS COROAS</v>
      </c>
      <c r="AJ12" s="84">
        <f>VLOOKUP(AI12,Unidades!D$5:H$36,5,)</f>
        <v>0.2223</v>
      </c>
      <c r="AK12" s="82">
        <f t="shared" si="28"/>
        <v>435.84826218049562</v>
      </c>
      <c r="AL12" s="82">
        <f t="shared" si="29"/>
        <v>504.34228355291043</v>
      </c>
      <c r="AM12" s="82">
        <f t="shared" si="30"/>
        <v>470.09527286670311</v>
      </c>
      <c r="AN12" s="82">
        <f t="shared" si="31"/>
        <v>470.09527286670311</v>
      </c>
      <c r="AO12" s="82">
        <f t="shared" si="32"/>
        <v>721.4861749148082</v>
      </c>
      <c r="AP12" s="82">
        <f t="shared" si="33"/>
        <v>2164.4585247444247</v>
      </c>
      <c r="AQ12" s="82">
        <f t="shared" si="34"/>
        <v>2885.9446996592328</v>
      </c>
      <c r="AR12" s="86"/>
      <c r="AS12" s="108" t="s">
        <v>66</v>
      </c>
      <c r="AT12" s="267">
        <f>AT10*3</f>
        <v>62689.160256126896</v>
      </c>
      <c r="AU12" s="267"/>
      <c r="AV12" s="85"/>
      <c r="AW12" s="85"/>
    </row>
    <row r="13" spans="2:49" ht="15" customHeight="1">
      <c r="B13" s="73" t="s">
        <v>216</v>
      </c>
      <c r="C13" s="69">
        <f>VLOOKUP($B13,Unidades!$D$5:$N$36,6,FALSE())</f>
        <v>914.18</v>
      </c>
      <c r="D13" s="69">
        <f>VLOOKUP($B13,Unidades!$D$5:$N$36,7,FALSE())</f>
        <v>371.04</v>
      </c>
      <c r="E13" s="69">
        <f>VLOOKUP($B13,Unidades!$D$5:$N$36,8,FALSE())</f>
        <v>112.85</v>
      </c>
      <c r="F13" s="69">
        <f>VLOOKUP($B13,Unidades!$D$5:$N$36,9,FALSE())</f>
        <v>430.29</v>
      </c>
      <c r="G13" s="69">
        <f t="shared" ref="G13:G19" si="41">D13+$E$6*E13+$F$6*F13</f>
        <v>453.56650000000002</v>
      </c>
      <c r="H13" s="70">
        <f t="shared" ref="H13:H19" si="42">IF(G13&lt;750,1.5,IF(G13&lt;2000,2,3))</f>
        <v>1.5</v>
      </c>
      <c r="I13" s="70">
        <f t="shared" ref="I13:I19" si="43">$I$6*H13</f>
        <v>1.7999999999999998</v>
      </c>
      <c r="J13" s="70" t="str">
        <f>VLOOKUP($B13,Unidades!$D$5:$N$36,10,FALSE())</f>
        <v>NÃO</v>
      </c>
      <c r="K13" s="70" t="str">
        <f>VLOOKUP($B13,Unidades!$D$5:$N$36,11,FALSE())</f>
        <v>SIM</v>
      </c>
      <c r="L13" s="70">
        <f t="shared" ref="L13:L19" si="44">$L$6*H13+(IF(J13="SIM",$J$6,0))</f>
        <v>1.6500000000000001</v>
      </c>
      <c r="M13" s="70">
        <f t="shared" ref="M13:M19" si="45">$M$6*H13+(IF(J13="SIM",$J$6,0))+(IF(K13="SIM",$K$6,0))</f>
        <v>5.65</v>
      </c>
      <c r="N13" s="70">
        <f t="shared" ref="N13:N19" si="46">H13*12+I13*4+L13*2+M13</f>
        <v>34.15</v>
      </c>
      <c r="O13" s="71">
        <f t="shared" si="6"/>
        <v>1920.4704999999999</v>
      </c>
      <c r="P13" s="32"/>
      <c r="Q13" s="73" t="str">
        <f t="shared" si="7"/>
        <v>APS DOIS IRMÃOS</v>
      </c>
      <c r="R13" s="6">
        <f t="shared" si="20"/>
        <v>75.81</v>
      </c>
      <c r="S13" s="6">
        <f t="shared" si="21"/>
        <v>90.971999999999994</v>
      </c>
      <c r="T13" s="6">
        <f t="shared" si="22"/>
        <v>83.391000000000005</v>
      </c>
      <c r="U13" s="6">
        <f t="shared" si="23"/>
        <v>480.08050000000003</v>
      </c>
      <c r="V13" s="6">
        <f>VLOOKUP(Q13,'Desl. Base Novo Hamburgo'!$C$5:$S$26,13,FALSE())*($C$32+$D$32+$E$32*(VLOOKUP(Q13,'Desl. Base Novo Hamburgo'!$C$5:$S$26,17,FALSE())/12))</f>
        <v>25.369354166666664</v>
      </c>
      <c r="W13" s="6">
        <f>VLOOKUP(Q13,'Desl. Base Novo Hamburgo'!$C$5:$S$26,15,FALSE())*(2+(VLOOKUP(Q13,'Desl. Base Novo Hamburgo'!$C$5:$S$26,17,FALSE())/12))</f>
        <v>0</v>
      </c>
      <c r="X13" s="6">
        <f>VLOOKUP(Q13,'Desl. Base Novo Hamburgo'!$C$5:$Q$26,14,FALSE())</f>
        <v>0</v>
      </c>
      <c r="Y13" s="6">
        <f>VLOOKUP(Q13,'Desl. Base Novo Hamburgo'!$C$5:Q$26,13,FALSE())*'Desl. Base Novo Hamburgo'!$E$31+'Desl. Base Novo Hamburgo'!$E$32*N13/12</f>
        <v>43.789791666666659</v>
      </c>
      <c r="Z13" s="6">
        <f>(H13/$AC$5)*'Equipe Técnica'!$C$13</f>
        <v>204.3749847517586</v>
      </c>
      <c r="AA13" s="6">
        <f>(I13/$AC$5)*'Equipe Técnica'!$C$13</f>
        <v>245.24998170211029</v>
      </c>
      <c r="AB13" s="6">
        <f>(L13/$AC$5)*'Equipe Técnica'!$C$13</f>
        <v>224.81248322693449</v>
      </c>
      <c r="AC13" s="6">
        <f>(M13/$AC$5)*'Equipe Técnica'!$C$13</f>
        <v>769.81244256495745</v>
      </c>
      <c r="AD13" s="6">
        <f t="shared" si="24"/>
        <v>323.86444527807441</v>
      </c>
      <c r="AE13" s="6">
        <f t="shared" si="25"/>
        <v>379.90144222842605</v>
      </c>
      <c r="AF13" s="6">
        <f t="shared" si="26"/>
        <v>351.88294375325029</v>
      </c>
      <c r="AG13" s="6">
        <f t="shared" si="27"/>
        <v>1293.5724030912734</v>
      </c>
      <c r="AH13" s="33"/>
      <c r="AI13" s="73" t="str">
        <f t="shared" si="12"/>
        <v>APS DOIS IRMÃOS</v>
      </c>
      <c r="AJ13" s="84">
        <f>VLOOKUP(AI13,Unidades!D$5:H$36,5,)</f>
        <v>0.2223</v>
      </c>
      <c r="AK13" s="82">
        <f t="shared" si="28"/>
        <v>395.85951146339033</v>
      </c>
      <c r="AL13" s="82">
        <f t="shared" si="29"/>
        <v>464.35353283580514</v>
      </c>
      <c r="AM13" s="82">
        <f t="shared" si="30"/>
        <v>430.10652214959782</v>
      </c>
      <c r="AN13" s="82">
        <f t="shared" si="31"/>
        <v>1581.1335482984634</v>
      </c>
      <c r="AO13" s="82">
        <f t="shared" si="32"/>
        <v>754.08957179179697</v>
      </c>
      <c r="AP13" s="82">
        <f t="shared" si="33"/>
        <v>2262.2687153753909</v>
      </c>
      <c r="AQ13" s="82">
        <f t="shared" si="34"/>
        <v>3016.3582871671879</v>
      </c>
      <c r="AR13" s="86"/>
      <c r="AS13" s="108" t="s">
        <v>77</v>
      </c>
      <c r="AT13" s="267">
        <f>AT12*12</f>
        <v>752269.92307352275</v>
      </c>
      <c r="AU13" s="267"/>
      <c r="AV13" s="85"/>
      <c r="AW13" s="85"/>
    </row>
    <row r="14" spans="2:49" ht="15" customHeight="1">
      <c r="B14" s="73" t="s">
        <v>236</v>
      </c>
      <c r="C14" s="69">
        <f>VLOOKUP($B14,Unidades!$D$5:$N$36,6,FALSE())</f>
        <v>1988.85</v>
      </c>
      <c r="D14" s="69">
        <f>VLOOKUP($B14,Unidades!$D$5:$N$36,7,FALSE())</f>
        <v>501.54</v>
      </c>
      <c r="E14" s="69">
        <f>VLOOKUP($B14,Unidades!$D$5:$N$36,8,FALSE())</f>
        <v>706.74</v>
      </c>
      <c r="F14" s="69">
        <f>VLOOKUP($B14,Unidades!$D$5:$N$36,9,FALSE())</f>
        <v>780.57</v>
      </c>
      <c r="G14" s="69">
        <f t="shared" si="41"/>
        <v>826.95600000000002</v>
      </c>
      <c r="H14" s="70">
        <f t="shared" si="42"/>
        <v>2</v>
      </c>
      <c r="I14" s="70">
        <f t="shared" si="43"/>
        <v>2.4</v>
      </c>
      <c r="J14" s="70" t="str">
        <f>VLOOKUP($B14,Unidades!$D$5:$N$36,10,FALSE())</f>
        <v>NÃO</v>
      </c>
      <c r="K14" s="70" t="str">
        <f>VLOOKUP($B14,Unidades!$D$5:$N$36,11,FALSE())</f>
        <v>SIM</v>
      </c>
      <c r="L14" s="70">
        <f t="shared" si="44"/>
        <v>2.2000000000000002</v>
      </c>
      <c r="M14" s="70">
        <f t="shared" si="45"/>
        <v>6.2</v>
      </c>
      <c r="N14" s="70">
        <f t="shared" si="46"/>
        <v>44.2</v>
      </c>
      <c r="O14" s="71">
        <f t="shared" si="6"/>
        <v>2447.3339999999998</v>
      </c>
      <c r="P14" s="32"/>
      <c r="Q14" s="73" t="str">
        <f t="shared" si="7"/>
        <v>APS SAPIRANGA</v>
      </c>
      <c r="R14" s="6">
        <f t="shared" si="20"/>
        <v>101.08</v>
      </c>
      <c r="S14" s="6">
        <f t="shared" si="21"/>
        <v>121.29599999999999</v>
      </c>
      <c r="T14" s="6">
        <f t="shared" si="22"/>
        <v>111.188</v>
      </c>
      <c r="U14" s="6">
        <f t="shared" si="23"/>
        <v>526.81399999999996</v>
      </c>
      <c r="V14" s="6">
        <f>VLOOKUP(Q14,'Desl. Base Novo Hamburgo'!$C$5:$S$26,13,FALSE())*($C$32+$D$32+$E$32*(VLOOKUP(Q14,'Desl. Base Novo Hamburgo'!$C$5:$S$26,17,FALSE())/12))</f>
        <v>25.369354166666664</v>
      </c>
      <c r="W14" s="6">
        <f>VLOOKUP(Q14,'Desl. Base Novo Hamburgo'!$C$5:$S$26,15,FALSE())*(2+(VLOOKUP(Q14,'Desl. Base Novo Hamburgo'!$C$5:$S$26,17,FALSE())/12))</f>
        <v>0</v>
      </c>
      <c r="X14" s="6">
        <f>VLOOKUP(Q14,'Desl. Base Novo Hamburgo'!$C$5:$Q$26,14,FALSE())</f>
        <v>0</v>
      </c>
      <c r="Y14" s="6">
        <f>VLOOKUP(Q14,'Desl. Base Novo Hamburgo'!$C$5:Q$26,13,FALSE())*'Desl. Base Novo Hamburgo'!$E$31+'Desl. Base Novo Hamburgo'!$E$32*N14/12</f>
        <v>49.610416666666666</v>
      </c>
      <c r="Z14" s="6">
        <f>(H14/$AC$5)*'Equipe Técnica'!$C$13</f>
        <v>272.49997966901145</v>
      </c>
      <c r="AA14" s="6">
        <f>(I14/$AC$5)*'Equipe Técnica'!$C$13</f>
        <v>326.99997560281378</v>
      </c>
      <c r="AB14" s="6">
        <f>(L14/$AC$5)*'Equipe Técnica'!$C$13</f>
        <v>299.74997763591261</v>
      </c>
      <c r="AC14" s="6">
        <f>(M14/$AC$5)*'Equipe Técnica'!$C$13</f>
        <v>844.74993697393552</v>
      </c>
      <c r="AD14" s="6">
        <f t="shared" si="24"/>
        <v>420.93562440585356</v>
      </c>
      <c r="AE14" s="6">
        <f t="shared" si="25"/>
        <v>495.65162033965589</v>
      </c>
      <c r="AF14" s="6">
        <f t="shared" si="26"/>
        <v>458.29362237275473</v>
      </c>
      <c r="AG14" s="6">
        <f t="shared" si="27"/>
        <v>1418.9195817107775</v>
      </c>
      <c r="AH14" s="33"/>
      <c r="AI14" s="73" t="str">
        <f t="shared" si="12"/>
        <v>APS SAPIRANGA</v>
      </c>
      <c r="AJ14" s="84">
        <f>VLOOKUP(AI14,Unidades!D$5:H$36,5,)</f>
        <v>0.2223</v>
      </c>
      <c r="AK14" s="82">
        <f t="shared" si="28"/>
        <v>514.50961371127482</v>
      </c>
      <c r="AL14" s="82">
        <f t="shared" si="29"/>
        <v>605.83497554116138</v>
      </c>
      <c r="AM14" s="82">
        <f t="shared" si="30"/>
        <v>560.1722946262181</v>
      </c>
      <c r="AN14" s="82">
        <f t="shared" si="31"/>
        <v>1734.3454047250832</v>
      </c>
      <c r="AO14" s="82">
        <f t="shared" si="32"/>
        <v>954.34543838978868</v>
      </c>
      <c r="AP14" s="82">
        <f t="shared" si="33"/>
        <v>2863.0363151693659</v>
      </c>
      <c r="AQ14" s="82">
        <f t="shared" si="34"/>
        <v>3817.3817535591547</v>
      </c>
      <c r="AR14" s="86"/>
      <c r="AS14" s="108" t="s">
        <v>78</v>
      </c>
      <c r="AT14" s="267">
        <f>AT10+AT12</f>
        <v>83585.547008169189</v>
      </c>
      <c r="AU14" s="267"/>
      <c r="AV14" s="85"/>
      <c r="AW14" s="85"/>
    </row>
    <row r="15" spans="2:49" ht="15" customHeight="1">
      <c r="B15" s="73" t="s">
        <v>230</v>
      </c>
      <c r="C15" s="69">
        <f>VLOOKUP($B15,Unidades!$D$5:$N$36,6,FALSE())</f>
        <v>334.4</v>
      </c>
      <c r="D15" s="69">
        <f>VLOOKUP($B15,Unidades!$D$5:$N$36,7,FALSE())</f>
        <v>296</v>
      </c>
      <c r="E15" s="69">
        <f>VLOOKUP($B15,Unidades!$D$5:$N$36,8,FALSE())</f>
        <v>38.4</v>
      </c>
      <c r="F15" s="69">
        <f>VLOOKUP($B15,Unidades!$D$5:$N$36,9,FALSE())</f>
        <v>0</v>
      </c>
      <c r="G15" s="69">
        <f t="shared" si="41"/>
        <v>309.44</v>
      </c>
      <c r="H15" s="70">
        <f t="shared" si="42"/>
        <v>1.5</v>
      </c>
      <c r="I15" s="70">
        <f t="shared" si="43"/>
        <v>1.7999999999999998</v>
      </c>
      <c r="J15" s="70" t="str">
        <f>VLOOKUP($B15,Unidades!$D$5:$N$36,10,FALSE())</f>
        <v>NÃO</v>
      </c>
      <c r="K15" s="70" t="str">
        <f>VLOOKUP($B15,Unidades!$D$5:$N$36,11,FALSE())</f>
        <v>NÃO</v>
      </c>
      <c r="L15" s="70">
        <f t="shared" si="44"/>
        <v>1.6500000000000001</v>
      </c>
      <c r="M15" s="70">
        <f t="shared" si="45"/>
        <v>1.6500000000000001</v>
      </c>
      <c r="N15" s="70">
        <f t="shared" si="46"/>
        <v>30.15</v>
      </c>
      <c r="O15" s="71">
        <f t="shared" si="6"/>
        <v>1523.7809999999999</v>
      </c>
      <c r="P15" s="32"/>
      <c r="Q15" s="73" t="str">
        <f t="shared" si="7"/>
        <v>APS PORTÃO</v>
      </c>
      <c r="R15" s="6">
        <f t="shared" si="20"/>
        <v>75.81</v>
      </c>
      <c r="S15" s="6">
        <f t="shared" si="21"/>
        <v>90.971999999999994</v>
      </c>
      <c r="T15" s="6">
        <f t="shared" si="22"/>
        <v>83.391000000000005</v>
      </c>
      <c r="U15" s="6">
        <f t="shared" si="23"/>
        <v>83.391000000000005</v>
      </c>
      <c r="V15" s="6">
        <f>VLOOKUP(Q15,'Desl. Base Novo Hamburgo'!$C$5:$S$26,13,FALSE())*($C$32+$D$32+$E$32*(VLOOKUP(Q15,'Desl. Base Novo Hamburgo'!$C$5:$S$26,17,FALSE())/12))</f>
        <v>26.259506944444443</v>
      </c>
      <c r="W15" s="6">
        <f>VLOOKUP(Q15,'Desl. Base Novo Hamburgo'!$C$5:$S$26,15,FALSE())*(2+(VLOOKUP(Q15,'Desl. Base Novo Hamburgo'!$C$5:$S$26,17,FALSE())/12))</f>
        <v>0</v>
      </c>
      <c r="X15" s="6">
        <f>VLOOKUP(Q15,'Desl. Base Novo Hamburgo'!$C$5:$Q$26,14,FALSE())</f>
        <v>0</v>
      </c>
      <c r="Y15" s="6">
        <f>VLOOKUP(Q15,'Desl. Base Novo Hamburgo'!$C$5:Q$26,13,FALSE())*'Desl. Base Novo Hamburgo'!$E$31+'Desl. Base Novo Hamburgo'!$E$32*N15/12</f>
        <v>42.315624999999997</v>
      </c>
      <c r="Z15" s="6">
        <f>(H15/$AC$5)*'Equipe Técnica'!$C$13</f>
        <v>204.3749847517586</v>
      </c>
      <c r="AA15" s="6">
        <f>(I15/$AC$5)*'Equipe Técnica'!$C$13</f>
        <v>245.24998170211029</v>
      </c>
      <c r="AB15" s="6">
        <f>(L15/$AC$5)*'Equipe Técnica'!$C$13</f>
        <v>224.81248322693449</v>
      </c>
      <c r="AC15" s="6">
        <f>(M15/$AC$5)*'Equipe Técnica'!$C$13</f>
        <v>224.81248322693449</v>
      </c>
      <c r="AD15" s="6">
        <f t="shared" si="24"/>
        <v>323.49559440088137</v>
      </c>
      <c r="AE15" s="6">
        <f t="shared" si="25"/>
        <v>379.53259135123312</v>
      </c>
      <c r="AF15" s="6">
        <f t="shared" si="26"/>
        <v>351.5140928760573</v>
      </c>
      <c r="AG15" s="6">
        <f t="shared" si="27"/>
        <v>351.5140928760573</v>
      </c>
      <c r="AH15" s="33"/>
      <c r="AI15" s="73" t="str">
        <f t="shared" si="12"/>
        <v>APS PORTÃO</v>
      </c>
      <c r="AJ15" s="84">
        <f>VLOOKUP(AI15,Unidades!D$5:H$36,5,)</f>
        <v>0.2288</v>
      </c>
      <c r="AK15" s="82">
        <f t="shared" si="28"/>
        <v>397.51138639980309</v>
      </c>
      <c r="AL15" s="82">
        <f t="shared" si="29"/>
        <v>466.36964825239528</v>
      </c>
      <c r="AM15" s="82">
        <f t="shared" si="30"/>
        <v>431.94051732609927</v>
      </c>
      <c r="AN15" s="82">
        <f t="shared" si="31"/>
        <v>431.94051732609927</v>
      </c>
      <c r="AO15" s="82">
        <f t="shared" si="32"/>
        <v>660.95306514879303</v>
      </c>
      <c r="AP15" s="82">
        <f t="shared" si="33"/>
        <v>1982.8591954463791</v>
      </c>
      <c r="AQ15" s="82">
        <f t="shared" si="34"/>
        <v>2643.8122605951721</v>
      </c>
      <c r="AR15" s="86"/>
      <c r="AS15" s="108" t="s">
        <v>79</v>
      </c>
      <c r="AT15" s="267">
        <f>AT11+AT13</f>
        <v>1003026.5640980303</v>
      </c>
      <c r="AU15" s="267"/>
      <c r="AV15" s="85"/>
      <c r="AW15" s="85"/>
    </row>
    <row r="16" spans="2:49" ht="15" customHeight="1">
      <c r="B16" s="73" t="s">
        <v>232</v>
      </c>
      <c r="C16" s="69">
        <f>VLOOKUP($B16,Unidades!$D$5:$N$36,6,FALSE())</f>
        <v>2884.09</v>
      </c>
      <c r="D16" s="69">
        <f>VLOOKUP($B16,Unidades!$D$5:$N$36,7,FALSE())</f>
        <v>1410.05</v>
      </c>
      <c r="E16" s="69">
        <f>VLOOKUP($B16,Unidades!$D$5:$N$36,8,FALSE())</f>
        <v>705.74</v>
      </c>
      <c r="F16" s="69">
        <f>VLOOKUP($B16,Unidades!$D$5:$N$36,9,FALSE())</f>
        <v>768.3</v>
      </c>
      <c r="G16" s="69">
        <f t="shared" si="41"/>
        <v>1733.8889999999999</v>
      </c>
      <c r="H16" s="70">
        <f t="shared" si="42"/>
        <v>2</v>
      </c>
      <c r="I16" s="70">
        <f t="shared" si="43"/>
        <v>2.4</v>
      </c>
      <c r="J16" s="70" t="str">
        <f>VLOOKUP($B16,Unidades!$D$5:$N$36,10,FALSE())</f>
        <v>NÃO</v>
      </c>
      <c r="K16" s="70" t="str">
        <f>VLOOKUP($B16,Unidades!$D$5:$N$36,11,FALSE())</f>
        <v>SIM</v>
      </c>
      <c r="L16" s="70">
        <f t="shared" si="44"/>
        <v>2.2000000000000002</v>
      </c>
      <c r="M16" s="70">
        <f t="shared" si="45"/>
        <v>6.2</v>
      </c>
      <c r="N16" s="70">
        <f t="shared" si="46"/>
        <v>44.2</v>
      </c>
      <c r="O16" s="71">
        <f t="shared" si="6"/>
        <v>2447.3339999999998</v>
      </c>
      <c r="P16" s="32"/>
      <c r="Q16" s="73" t="str">
        <f t="shared" si="7"/>
        <v>APS SÃO LEOPOLDO</v>
      </c>
      <c r="R16" s="6">
        <f t="shared" si="20"/>
        <v>101.08</v>
      </c>
      <c r="S16" s="6">
        <f t="shared" si="21"/>
        <v>121.29599999999999</v>
      </c>
      <c r="T16" s="6">
        <f t="shared" si="22"/>
        <v>111.188</v>
      </c>
      <c r="U16" s="6">
        <f t="shared" si="23"/>
        <v>526.81399999999996</v>
      </c>
      <c r="V16" s="6">
        <f>VLOOKUP(Q16,'Desl. Base Novo Hamburgo'!$C$5:$S$26,13,FALSE())*($C$32+$D$32+$E$32*(VLOOKUP(Q16,'Desl. Base Novo Hamburgo'!$C$5:$S$26,17,FALSE())/12))</f>
        <v>26.259506944444443</v>
      </c>
      <c r="W16" s="6">
        <f>VLOOKUP(Q16,'Desl. Base Novo Hamburgo'!$C$5:$S$26,15,FALSE())*(2+(VLOOKUP(Q16,'Desl. Base Novo Hamburgo'!$C$5:$S$26,17,FALSE())/12))</f>
        <v>0</v>
      </c>
      <c r="X16" s="6">
        <f>VLOOKUP(Q16,'Desl. Base Novo Hamburgo'!$C$5:$Q$26,14,FALSE())</f>
        <v>0</v>
      </c>
      <c r="Y16" s="6">
        <f>VLOOKUP(Q16,'Desl. Base Novo Hamburgo'!$C$5:Q$26,13,FALSE())*'Desl. Base Novo Hamburgo'!$E$31+'Desl. Base Novo Hamburgo'!$E$32*N16/12</f>
        <v>50.452916666666667</v>
      </c>
      <c r="Z16" s="6">
        <f>(H16/$AC$5)*'Equipe Técnica'!$C$13</f>
        <v>272.49997966901145</v>
      </c>
      <c r="AA16" s="6">
        <f>(I16/$AC$5)*'Equipe Técnica'!$C$13</f>
        <v>326.99997560281378</v>
      </c>
      <c r="AB16" s="6">
        <f>(L16/$AC$5)*'Equipe Técnica'!$C$13</f>
        <v>299.74997763591261</v>
      </c>
      <c r="AC16" s="6">
        <f>(M16/$AC$5)*'Equipe Técnica'!$C$13</f>
        <v>844.74993697393552</v>
      </c>
      <c r="AD16" s="6">
        <f t="shared" si="24"/>
        <v>422.02993142339744</v>
      </c>
      <c r="AE16" s="6">
        <f t="shared" si="25"/>
        <v>496.74592735719972</v>
      </c>
      <c r="AF16" s="6">
        <f t="shared" si="26"/>
        <v>459.38792939029861</v>
      </c>
      <c r="AG16" s="6">
        <f t="shared" si="27"/>
        <v>1420.0138887283215</v>
      </c>
      <c r="AH16" s="33"/>
      <c r="AI16" s="73" t="str">
        <f t="shared" si="12"/>
        <v>APS SÃO LEOPOLDO</v>
      </c>
      <c r="AJ16" s="84">
        <f>VLOOKUP(AI16,Unidades!D$5:H$36,5,)</f>
        <v>0.2354</v>
      </c>
      <c r="AK16" s="82">
        <f t="shared" si="28"/>
        <v>521.37577728046517</v>
      </c>
      <c r="AL16" s="82">
        <f t="shared" si="29"/>
        <v>613.67991865708461</v>
      </c>
      <c r="AM16" s="82">
        <f t="shared" si="30"/>
        <v>567.52784796877495</v>
      </c>
      <c r="AN16" s="82">
        <f t="shared" si="31"/>
        <v>1754.2851581349685</v>
      </c>
      <c r="AO16" s="82">
        <f t="shared" si="32"/>
        <v>966.71415467220322</v>
      </c>
      <c r="AP16" s="82">
        <f t="shared" si="33"/>
        <v>2900.1424640166097</v>
      </c>
      <c r="AQ16" s="82">
        <f t="shared" si="34"/>
        <v>3866.8566186888129</v>
      </c>
      <c r="AR16" s="86"/>
      <c r="AS16" s="188"/>
      <c r="AT16" s="189"/>
      <c r="AU16" s="189"/>
      <c r="AV16" s="85"/>
      <c r="AW16" s="85"/>
    </row>
    <row r="17" spans="2:66" ht="15" customHeight="1">
      <c r="B17" s="73" t="s">
        <v>226</v>
      </c>
      <c r="C17" s="69">
        <f>VLOOKUP($B17,Unidades!$D$5:$N$36,6,FALSE())</f>
        <v>2263.27</v>
      </c>
      <c r="D17" s="69">
        <f>VLOOKUP($B17,Unidades!$D$5:$N$36,7,FALSE())</f>
        <v>729.05</v>
      </c>
      <c r="E17" s="69">
        <f>VLOOKUP($B17,Unidades!$D$5:$N$36,8,FALSE())</f>
        <v>578.15</v>
      </c>
      <c r="F17" s="69">
        <f>VLOOKUP($B17,Unidades!$D$5:$N$36,9,FALSE())</f>
        <v>956.07</v>
      </c>
      <c r="G17" s="69">
        <f t="shared" si="41"/>
        <v>1027.0094999999999</v>
      </c>
      <c r="H17" s="70">
        <f t="shared" si="42"/>
        <v>2</v>
      </c>
      <c r="I17" s="70">
        <f t="shared" si="43"/>
        <v>2.4</v>
      </c>
      <c r="J17" s="70" t="str">
        <f>VLOOKUP($B17,Unidades!$D$5:$N$36,10,FALSE())</f>
        <v>NÃO</v>
      </c>
      <c r="K17" s="70" t="str">
        <f>VLOOKUP($B17,Unidades!$D$5:$N$36,11,FALSE())</f>
        <v>SIM</v>
      </c>
      <c r="L17" s="70">
        <f t="shared" si="44"/>
        <v>2.2000000000000002</v>
      </c>
      <c r="M17" s="70">
        <f t="shared" si="45"/>
        <v>6.2</v>
      </c>
      <c r="N17" s="70">
        <f t="shared" si="46"/>
        <v>44.2</v>
      </c>
      <c r="O17" s="71">
        <f t="shared" si="6"/>
        <v>2447.3339999999998</v>
      </c>
      <c r="P17" s="32"/>
      <c r="Q17" s="73" t="str">
        <f t="shared" si="7"/>
        <v>APS MONTENEGRO</v>
      </c>
      <c r="R17" s="6">
        <f t="shared" si="20"/>
        <v>101.08</v>
      </c>
      <c r="S17" s="6">
        <f t="shared" si="21"/>
        <v>121.29599999999999</v>
      </c>
      <c r="T17" s="6">
        <f t="shared" si="22"/>
        <v>111.188</v>
      </c>
      <c r="U17" s="6">
        <f t="shared" si="23"/>
        <v>526.81399999999996</v>
      </c>
      <c r="V17" s="6">
        <f>VLOOKUP(Q17,'Desl. Base Novo Hamburgo'!$C$5:$S$26,13,FALSE())*($C$32+$D$32+$E$32*(VLOOKUP(Q17,'Desl. Base Novo Hamburgo'!$C$5:$S$26,17,FALSE())/12))</f>
        <v>47.623173611111113</v>
      </c>
      <c r="W17" s="6">
        <f>VLOOKUP(Q17,'Desl. Base Novo Hamburgo'!$C$5:$S$26,15,FALSE())*(2+(VLOOKUP(Q17,'Desl. Base Novo Hamburgo'!$C$5:$S$26,17,FALSE())/12))</f>
        <v>0</v>
      </c>
      <c r="X17" s="6">
        <f>VLOOKUP(Q17,'Desl. Base Novo Hamburgo'!$C$5:$Q$26,14,FALSE())</f>
        <v>5.95</v>
      </c>
      <c r="Y17" s="6">
        <f>VLOOKUP(Q17,'Desl. Base Novo Hamburgo'!$C$5:Q$26,13,FALSE())*'Desl. Base Novo Hamburgo'!$E$31+'Desl. Base Novo Hamburgo'!$E$32*N17/12</f>
        <v>70.672916666666666</v>
      </c>
      <c r="Z17" s="6">
        <f>(H17/$AC$5)*'Equipe Técnica'!$C$13</f>
        <v>272.49997966901145</v>
      </c>
      <c r="AA17" s="6">
        <f>(I17/$AC$5)*'Equipe Técnica'!$C$13</f>
        <v>326.99997560281378</v>
      </c>
      <c r="AB17" s="6">
        <f>(L17/$AC$5)*'Equipe Técnica'!$C$13</f>
        <v>299.74997763591261</v>
      </c>
      <c r="AC17" s="6">
        <f>(M17/$AC$5)*'Equipe Técnica'!$C$13</f>
        <v>844.74993697393552</v>
      </c>
      <c r="AD17" s="6">
        <f t="shared" si="24"/>
        <v>452.05119458129218</v>
      </c>
      <c r="AE17" s="6">
        <f t="shared" si="25"/>
        <v>526.7671905150944</v>
      </c>
      <c r="AF17" s="6">
        <f t="shared" si="26"/>
        <v>489.40919254819335</v>
      </c>
      <c r="AG17" s="6">
        <f t="shared" si="27"/>
        <v>1450.0351518862162</v>
      </c>
      <c r="AH17" s="33"/>
      <c r="AI17" s="73" t="str">
        <f t="shared" si="12"/>
        <v>APS MONTENEGRO</v>
      </c>
      <c r="AJ17" s="84">
        <f>VLOOKUP(AI17,Unidades!D$5:H$36,5,)</f>
        <v>0.2354</v>
      </c>
      <c r="AK17" s="82">
        <f t="shared" si="28"/>
        <v>558.46404578572833</v>
      </c>
      <c r="AL17" s="82">
        <f t="shared" si="29"/>
        <v>650.76818716234766</v>
      </c>
      <c r="AM17" s="82">
        <f t="shared" si="30"/>
        <v>604.61611647403811</v>
      </c>
      <c r="AN17" s="82">
        <f t="shared" si="31"/>
        <v>1791.3734266402316</v>
      </c>
      <c r="AO17" s="82">
        <f t="shared" si="32"/>
        <v>1025.4372464722032</v>
      </c>
      <c r="AP17" s="82">
        <f t="shared" si="33"/>
        <v>3076.3117394166097</v>
      </c>
      <c r="AQ17" s="82">
        <f t="shared" si="34"/>
        <v>4101.748985888813</v>
      </c>
      <c r="AR17" s="86"/>
      <c r="AS17" s="188"/>
      <c r="AT17" s="189"/>
      <c r="AU17" s="189"/>
      <c r="AV17" s="85"/>
      <c r="AW17" s="85"/>
    </row>
    <row r="18" spans="2:66" ht="15" customHeight="1">
      <c r="B18" s="73" t="s">
        <v>234</v>
      </c>
      <c r="C18" s="69">
        <f>VLOOKUP($B18,Unidades!$D$5:$N$36,6,FALSE())</f>
        <v>1082.18</v>
      </c>
      <c r="D18" s="69">
        <f>VLOOKUP($B18,Unidades!$D$5:$N$36,7,FALSE())</f>
        <v>728.2</v>
      </c>
      <c r="E18" s="69">
        <f>VLOOKUP($B18,Unidades!$D$5:$N$36,8,FALSE())</f>
        <v>222</v>
      </c>
      <c r="F18" s="69">
        <f>VLOOKUP($B18,Unidades!$D$5:$N$36,9,FALSE())</f>
        <v>131.97999999999999</v>
      </c>
      <c r="G18" s="69">
        <f t="shared" si="41"/>
        <v>819.09800000000007</v>
      </c>
      <c r="H18" s="70">
        <f t="shared" si="42"/>
        <v>2</v>
      </c>
      <c r="I18" s="70">
        <f t="shared" si="43"/>
        <v>2.4</v>
      </c>
      <c r="J18" s="70" t="str">
        <f>VLOOKUP($B18,Unidades!$D$5:$N$36,10,FALSE())</f>
        <v>NÃO</v>
      </c>
      <c r="K18" s="70" t="str">
        <f>VLOOKUP($B18,Unidades!$D$5:$N$36,11,FALSE())</f>
        <v>SIM</v>
      </c>
      <c r="L18" s="70">
        <f t="shared" si="44"/>
        <v>2.2000000000000002</v>
      </c>
      <c r="M18" s="70">
        <f t="shared" si="45"/>
        <v>6.2</v>
      </c>
      <c r="N18" s="70">
        <f t="shared" si="46"/>
        <v>44.2</v>
      </c>
      <c r="O18" s="71">
        <f t="shared" si="6"/>
        <v>2447.3339999999998</v>
      </c>
      <c r="P18" s="32"/>
      <c r="Q18" s="73" t="str">
        <f t="shared" si="7"/>
        <v>APS SÃO SEBASTIÃO DO CAÍ</v>
      </c>
      <c r="R18" s="6">
        <f t="shared" si="20"/>
        <v>101.08</v>
      </c>
      <c r="S18" s="6">
        <f t="shared" si="21"/>
        <v>121.29599999999999</v>
      </c>
      <c r="T18" s="6">
        <f t="shared" si="22"/>
        <v>111.188</v>
      </c>
      <c r="U18" s="6">
        <f t="shared" si="23"/>
        <v>526.81399999999996</v>
      </c>
      <c r="V18" s="6">
        <f>VLOOKUP(Q18,'Desl. Base Novo Hamburgo'!$C$5:$S$26,13,FALSE())*($C$32+$D$32+$E$32*(VLOOKUP(Q18,'Desl. Base Novo Hamburgo'!$C$5:$S$26,17,FALSE())/12))</f>
        <v>47.623173611111113</v>
      </c>
      <c r="W18" s="6">
        <f>VLOOKUP(Q18,'Desl. Base Novo Hamburgo'!$C$5:$S$26,15,FALSE())*(2+(VLOOKUP(Q18,'Desl. Base Novo Hamburgo'!$C$5:$S$26,17,FALSE())/12))</f>
        <v>0</v>
      </c>
      <c r="X18" s="6">
        <f>VLOOKUP(Q18,'Desl. Base Novo Hamburgo'!$C$5:$Q$26,14,FALSE())</f>
        <v>5.95</v>
      </c>
      <c r="Y18" s="6">
        <f>VLOOKUP(Q18,'Desl. Base Novo Hamburgo'!$C$5:Q$26,13,FALSE())*'Desl. Base Novo Hamburgo'!$E$31+'Desl. Base Novo Hamburgo'!$E$32*N18/12</f>
        <v>70.672916666666666</v>
      </c>
      <c r="Z18" s="6">
        <f>(H18/$AC$5)*'Equipe Técnica'!$C$13</f>
        <v>272.49997966901145</v>
      </c>
      <c r="AA18" s="6">
        <f>(I18/$AC$5)*'Equipe Técnica'!$C$13</f>
        <v>326.99997560281378</v>
      </c>
      <c r="AB18" s="6">
        <f>(L18/$AC$5)*'Equipe Técnica'!$C$13</f>
        <v>299.74997763591261</v>
      </c>
      <c r="AC18" s="6">
        <f>(M18/$AC$5)*'Equipe Técnica'!$C$13</f>
        <v>844.74993697393552</v>
      </c>
      <c r="AD18" s="6">
        <f t="shared" si="24"/>
        <v>452.05119458129218</v>
      </c>
      <c r="AE18" s="6">
        <f t="shared" si="25"/>
        <v>526.7671905150944</v>
      </c>
      <c r="AF18" s="6">
        <f t="shared" si="26"/>
        <v>489.40919254819335</v>
      </c>
      <c r="AG18" s="6">
        <f t="shared" si="27"/>
        <v>1450.0351518862162</v>
      </c>
      <c r="AH18" s="33"/>
      <c r="AI18" s="73" t="str">
        <f t="shared" si="12"/>
        <v>APS SÃO SEBASTIÃO DO CAÍ</v>
      </c>
      <c r="AJ18" s="84">
        <f>VLOOKUP(AI18,Unidades!D$5:H$36,5,)</f>
        <v>0.2354</v>
      </c>
      <c r="AK18" s="82">
        <f t="shared" si="28"/>
        <v>558.46404578572833</v>
      </c>
      <c r="AL18" s="82">
        <f t="shared" si="29"/>
        <v>650.76818716234766</v>
      </c>
      <c r="AM18" s="82">
        <f t="shared" si="30"/>
        <v>604.61611647403811</v>
      </c>
      <c r="AN18" s="82">
        <f t="shared" si="31"/>
        <v>1791.3734266402316</v>
      </c>
      <c r="AO18" s="82">
        <f t="shared" si="32"/>
        <v>1025.4372464722032</v>
      </c>
      <c r="AP18" s="82">
        <f t="shared" si="33"/>
        <v>3076.3117394166097</v>
      </c>
      <c r="AQ18" s="82">
        <f t="shared" si="34"/>
        <v>4101.748985888813</v>
      </c>
      <c r="AR18" s="86"/>
      <c r="AS18" s="188"/>
      <c r="AT18" s="189"/>
      <c r="AU18" s="189"/>
      <c r="AV18" s="85"/>
      <c r="AW18" s="85"/>
    </row>
    <row r="19" spans="2:66" ht="15" customHeight="1">
      <c r="B19" s="73" t="s">
        <v>220</v>
      </c>
      <c r="C19" s="69">
        <f>VLOOKUP($B19,Unidades!$D$5:$N$36,6,FALSE())</f>
        <v>1719.85</v>
      </c>
      <c r="D19" s="69">
        <f>VLOOKUP($B19,Unidades!$D$5:$N$36,7,FALSE())</f>
        <v>883.35</v>
      </c>
      <c r="E19" s="69">
        <f>VLOOKUP($B19,Unidades!$D$5:$N$36,8,FALSE())</f>
        <v>465.65</v>
      </c>
      <c r="F19" s="69">
        <f>VLOOKUP($B19,Unidades!$D$5:$N$36,9,FALSE())</f>
        <v>370.85</v>
      </c>
      <c r="G19" s="69">
        <f t="shared" si="41"/>
        <v>1083.4125000000001</v>
      </c>
      <c r="H19" s="70">
        <f t="shared" si="42"/>
        <v>2</v>
      </c>
      <c r="I19" s="70">
        <f t="shared" si="43"/>
        <v>2.4</v>
      </c>
      <c r="J19" s="70" t="str">
        <f>VLOOKUP($B19,Unidades!$D$5:$N$36,10,FALSE())</f>
        <v>NÃO</v>
      </c>
      <c r="K19" s="70" t="str">
        <f>VLOOKUP($B19,Unidades!$D$5:$N$36,11,FALSE())</f>
        <v>SIM</v>
      </c>
      <c r="L19" s="70">
        <f t="shared" si="44"/>
        <v>2.2000000000000002</v>
      </c>
      <c r="M19" s="70">
        <f t="shared" si="45"/>
        <v>6.2</v>
      </c>
      <c r="N19" s="70">
        <f t="shared" si="46"/>
        <v>44.2</v>
      </c>
      <c r="O19" s="71">
        <f t="shared" si="6"/>
        <v>2447.3339999999998</v>
      </c>
      <c r="P19" s="32"/>
      <c r="Q19" s="73" t="str">
        <f t="shared" si="7"/>
        <v>APS ESTRELA</v>
      </c>
      <c r="R19" s="6">
        <f t="shared" si="20"/>
        <v>101.08</v>
      </c>
      <c r="S19" s="6">
        <f t="shared" si="21"/>
        <v>121.29599999999999</v>
      </c>
      <c r="T19" s="6">
        <f t="shared" si="22"/>
        <v>111.188</v>
      </c>
      <c r="U19" s="6">
        <f t="shared" si="23"/>
        <v>526.81399999999996</v>
      </c>
      <c r="V19" s="6">
        <f>VLOOKUP(Q19,'Desl. Base Novo Hamburgo'!$C$5:$S$26,13,FALSE())*($C$32+$D$32+$E$32*(VLOOKUP(Q19,'Desl. Base Novo Hamburgo'!$C$5:$S$26,17,FALSE())/12))</f>
        <v>85.009590277777761</v>
      </c>
      <c r="W19" s="6">
        <f>VLOOKUP(Q19,'Desl. Base Novo Hamburgo'!$C$5:$S$26,15,FALSE())*(2+(VLOOKUP(Q19,'Desl. Base Novo Hamburgo'!$C$5:$S$26,17,FALSE())/12))</f>
        <v>0</v>
      </c>
      <c r="X19" s="6">
        <f>VLOOKUP(Q19,'Desl. Base Novo Hamburgo'!$C$5:$Q$26,14,FALSE())</f>
        <v>5.8</v>
      </c>
      <c r="Y19" s="6">
        <f>VLOOKUP(Q19,'Desl. Base Novo Hamburgo'!$C$5:Q$26,13,FALSE())*'Desl. Base Novo Hamburgo'!$E$31+'Desl. Base Novo Hamburgo'!$E$32*N19/12</f>
        <v>106.05791666666667</v>
      </c>
      <c r="Z19" s="6">
        <f>(H19/$AC$5)*'Equipe Técnica'!$C$13</f>
        <v>272.49997966901145</v>
      </c>
      <c r="AA19" s="6">
        <f>(I19/$AC$5)*'Equipe Técnica'!$C$13</f>
        <v>326.99997560281378</v>
      </c>
      <c r="AB19" s="6">
        <f>(L19/$AC$5)*'Equipe Técnica'!$C$13</f>
        <v>299.74997763591261</v>
      </c>
      <c r="AC19" s="6">
        <f>(M19/$AC$5)*'Equipe Técnica'!$C$13</f>
        <v>844.74993697393552</v>
      </c>
      <c r="AD19" s="6">
        <f t="shared" si="24"/>
        <v>497.91735247602901</v>
      </c>
      <c r="AE19" s="6">
        <f t="shared" si="25"/>
        <v>572.63334840983134</v>
      </c>
      <c r="AF19" s="6">
        <f t="shared" si="26"/>
        <v>535.27535044293018</v>
      </c>
      <c r="AG19" s="6">
        <f t="shared" si="27"/>
        <v>1495.9013097809529</v>
      </c>
      <c r="AH19" s="33"/>
      <c r="AI19" s="73" t="str">
        <f t="shared" si="12"/>
        <v>APS ESTRELA</v>
      </c>
      <c r="AJ19" s="84">
        <f>VLOOKUP(AI19,Unidades!D$5:H$36,5,)</f>
        <v>0.2288</v>
      </c>
      <c r="AK19" s="82">
        <f t="shared" si="28"/>
        <v>611.84084272254449</v>
      </c>
      <c r="AL19" s="82">
        <f t="shared" si="29"/>
        <v>703.65185852600086</v>
      </c>
      <c r="AM19" s="82">
        <f t="shared" si="30"/>
        <v>657.74635062427262</v>
      </c>
      <c r="AN19" s="82">
        <f t="shared" si="31"/>
        <v>1838.1635294588352</v>
      </c>
      <c r="AO19" s="82">
        <f t="shared" si="32"/>
        <v>1109.1961481234932</v>
      </c>
      <c r="AP19" s="82">
        <f t="shared" si="33"/>
        <v>3327.5884443704799</v>
      </c>
      <c r="AQ19" s="82">
        <f t="shared" si="34"/>
        <v>4436.7845924939729</v>
      </c>
      <c r="AR19" s="86"/>
      <c r="AS19" s="188"/>
      <c r="AT19" s="189"/>
      <c r="AU19" s="189"/>
      <c r="AV19" s="85"/>
      <c r="AW19" s="85"/>
    </row>
    <row r="20" spans="2:66" ht="15" customHeight="1">
      <c r="B20" s="73" t="s">
        <v>224</v>
      </c>
      <c r="C20" s="69">
        <f>VLOOKUP($B20,Unidades!$D$5:$N$36,6,FALSE())</f>
        <v>1331.03</v>
      </c>
      <c r="D20" s="69">
        <f>VLOOKUP($B20,Unidades!$D$5:$N$36,7,FALSE())</f>
        <v>1145.5999999999999</v>
      </c>
      <c r="E20" s="69">
        <f>VLOOKUP($B20,Unidades!$D$5:$N$36,8,FALSE())</f>
        <v>185.43</v>
      </c>
      <c r="F20" s="69">
        <f>VLOOKUP($B20,Unidades!$D$5:$N$36,9,FALSE())</f>
        <v>0</v>
      </c>
      <c r="G20" s="69">
        <f t="shared" si="35"/>
        <v>1210.5004999999999</v>
      </c>
      <c r="H20" s="70">
        <f t="shared" si="36"/>
        <v>2</v>
      </c>
      <c r="I20" s="70">
        <f t="shared" si="37"/>
        <v>2.4</v>
      </c>
      <c r="J20" s="70" t="str">
        <f>VLOOKUP($B20,Unidades!$D$5:$N$36,10,FALSE())</f>
        <v>SIM</v>
      </c>
      <c r="K20" s="70" t="str">
        <f>VLOOKUP($B20,Unidades!$D$5:$N$36,11,FALSE())</f>
        <v>NÃO</v>
      </c>
      <c r="L20" s="70">
        <f t="shared" si="38"/>
        <v>4.2</v>
      </c>
      <c r="M20" s="70">
        <f t="shared" si="39"/>
        <v>4.2</v>
      </c>
      <c r="N20" s="70">
        <f t="shared" si="40"/>
        <v>46.2</v>
      </c>
      <c r="O20" s="71">
        <f t="shared" si="6"/>
        <v>2334.9480000000003</v>
      </c>
      <c r="P20" s="32"/>
      <c r="Q20" s="73" t="str">
        <f t="shared" si="7"/>
        <v>APS LAJEADO</v>
      </c>
      <c r="R20" s="6">
        <f t="shared" si="20"/>
        <v>101.08</v>
      </c>
      <c r="S20" s="6">
        <f t="shared" si="21"/>
        <v>121.29599999999999</v>
      </c>
      <c r="T20" s="6">
        <f t="shared" si="22"/>
        <v>212.268</v>
      </c>
      <c r="U20" s="6">
        <f t="shared" si="23"/>
        <v>212.268</v>
      </c>
      <c r="V20" s="6">
        <f>VLOOKUP(Q20,'Desl. Base Novo Hamburgo'!$C$5:$S$26,13,FALSE())*($C$32+$D$32+$E$32*(VLOOKUP(Q20,'Desl. Base Novo Hamburgo'!$C$5:$S$26,17,FALSE())/12))</f>
        <v>85.009590277777761</v>
      </c>
      <c r="W20" s="6">
        <f>VLOOKUP(Q20,'Desl. Base Novo Hamburgo'!$C$5:$S$26,15,FALSE())*(2+(VLOOKUP(Q20,'Desl. Base Novo Hamburgo'!$C$5:$S$26,17,FALSE())/12))</f>
        <v>0</v>
      </c>
      <c r="X20" s="6">
        <f>VLOOKUP(Q20,'Desl. Base Novo Hamburgo'!$C$5:$Q$26,14,FALSE())</f>
        <v>5.8</v>
      </c>
      <c r="Y20" s="6">
        <f>VLOOKUP(Q20,'Desl. Base Novo Hamburgo'!$C$5:Q$26,13,FALSE())*'Desl. Base Novo Hamburgo'!$E$31+'Desl. Base Novo Hamburgo'!$E$32*N20/12</f>
        <v>107.21625</v>
      </c>
      <c r="Z20" s="6">
        <f>(H20/$AC$5)*'Equipe Técnica'!$C$13</f>
        <v>272.49997966901145</v>
      </c>
      <c r="AA20" s="6">
        <f>(I20/$AC$5)*'Equipe Técnica'!$C$13</f>
        <v>326.99997560281378</v>
      </c>
      <c r="AB20" s="6">
        <f>(L20/$AC$5)*'Equipe Técnica'!$C$13</f>
        <v>572.24995730492412</v>
      </c>
      <c r="AC20" s="6">
        <f>(M20/$AC$5)*'Equipe Técnica'!$C$13</f>
        <v>572.24995730492412</v>
      </c>
      <c r="AD20" s="6">
        <f t="shared" si="24"/>
        <v>498.64893142339741</v>
      </c>
      <c r="AE20" s="6">
        <f t="shared" si="25"/>
        <v>573.3649273571998</v>
      </c>
      <c r="AF20" s="6">
        <f t="shared" si="26"/>
        <v>909.58690905931007</v>
      </c>
      <c r="AG20" s="6">
        <f t="shared" si="27"/>
        <v>909.58690905931007</v>
      </c>
      <c r="AH20" s="33"/>
      <c r="AI20" s="73" t="str">
        <f t="shared" si="12"/>
        <v>APS LAJEADO</v>
      </c>
      <c r="AJ20" s="84">
        <f>VLOOKUP(AI20,Unidades!D$5:H$36,5,)</f>
        <v>0.2288</v>
      </c>
      <c r="AK20" s="82">
        <f t="shared" si="28"/>
        <v>612.73980693307078</v>
      </c>
      <c r="AL20" s="82">
        <f t="shared" si="29"/>
        <v>704.55082273652715</v>
      </c>
      <c r="AM20" s="82">
        <f t="shared" si="30"/>
        <v>1117.7003938520804</v>
      </c>
      <c r="AN20" s="82">
        <f t="shared" si="31"/>
        <v>1117.7003938520804</v>
      </c>
      <c r="AO20" s="82">
        <f t="shared" si="32"/>
        <v>1127.0151796416001</v>
      </c>
      <c r="AP20" s="82">
        <f t="shared" si="33"/>
        <v>3381.0455389248</v>
      </c>
      <c r="AQ20" s="82">
        <f t="shared" si="34"/>
        <v>4508.0607185664003</v>
      </c>
      <c r="AR20" s="86"/>
      <c r="AS20" s="188"/>
      <c r="AT20" s="189"/>
      <c r="AU20" s="189"/>
      <c r="AV20" s="85"/>
      <c r="AW20" s="85"/>
    </row>
    <row r="21" spans="2:66" ht="15" customHeight="1">
      <c r="B21" s="73" t="s">
        <v>218</v>
      </c>
      <c r="C21" s="69">
        <f>VLOOKUP($B21,Unidades!$D$5:$N$36,6,FALSE())</f>
        <v>1832.48</v>
      </c>
      <c r="D21" s="69">
        <f>VLOOKUP($B21,Unidades!$D$5:$N$36,7,FALSE())</f>
        <v>657.24</v>
      </c>
      <c r="E21" s="69">
        <f>VLOOKUP($B21,Unidades!$D$5:$N$36,8,FALSE())</f>
        <v>198.31</v>
      </c>
      <c r="F21" s="69">
        <f>VLOOKUP($B21,Unidades!$D$5:$N$36,9,FALSE())</f>
        <v>976.93</v>
      </c>
      <c r="G21" s="69">
        <f t="shared" si="35"/>
        <v>824.3415</v>
      </c>
      <c r="H21" s="70">
        <f t="shared" si="36"/>
        <v>2</v>
      </c>
      <c r="I21" s="70">
        <f t="shared" si="37"/>
        <v>2.4</v>
      </c>
      <c r="J21" s="70" t="str">
        <f>VLOOKUP($B21,Unidades!$D$5:$N$36,10,FALSE())</f>
        <v>SIM</v>
      </c>
      <c r="K21" s="70" t="str">
        <f>VLOOKUP($B21,Unidades!$D$5:$N$36,11,FALSE())</f>
        <v>SIM</v>
      </c>
      <c r="L21" s="70">
        <f t="shared" si="38"/>
        <v>4.2</v>
      </c>
      <c r="M21" s="70">
        <f t="shared" si="39"/>
        <v>8.1999999999999993</v>
      </c>
      <c r="N21" s="70">
        <f t="shared" si="40"/>
        <v>50.2</v>
      </c>
      <c r="O21" s="71">
        <f t="shared" si="6"/>
        <v>2819.4340000000002</v>
      </c>
      <c r="P21" s="32"/>
      <c r="Q21" s="73" t="str">
        <f t="shared" si="7"/>
        <v>APS Encantado</v>
      </c>
      <c r="R21" s="6">
        <f t="shared" si="20"/>
        <v>101.08</v>
      </c>
      <c r="S21" s="6">
        <f t="shared" si="21"/>
        <v>121.29599999999999</v>
      </c>
      <c r="T21" s="6">
        <f t="shared" si="22"/>
        <v>212.268</v>
      </c>
      <c r="U21" s="6">
        <f t="shared" si="23"/>
        <v>696.75399999999991</v>
      </c>
      <c r="V21" s="6">
        <f>VLOOKUP(Q21,'Desl. Base Novo Hamburgo'!$C$5:$S$26,13,FALSE())*($C$32+$D$32+$E$32*(VLOOKUP(Q21,'Desl. Base Novo Hamburgo'!$C$5:$S$26,17,FALSE())/12))</f>
        <v>117.05509027777778</v>
      </c>
      <c r="W21" s="6">
        <f>VLOOKUP(Q21,'Desl. Base Novo Hamburgo'!$C$5:$S$26,15,FALSE())*(2+(VLOOKUP(Q21,'Desl. Base Novo Hamburgo'!$C$5:$S$26,17,FALSE())/12))</f>
        <v>0</v>
      </c>
      <c r="X21" s="6">
        <f>VLOOKUP(Q21,'Desl. Base Novo Hamburgo'!$C$5:$Q$26,14,FALSE())</f>
        <v>11</v>
      </c>
      <c r="Y21" s="6">
        <f>VLOOKUP(Q21,'Desl. Base Novo Hamburgo'!$C$5:Q$26,13,FALSE())*'Desl. Base Novo Hamburgo'!$E$31+'Desl. Base Novo Hamburgo'!$E$32*N21/12</f>
        <v>139.86291666666668</v>
      </c>
      <c r="Z21" s="6">
        <f>(H21/$AC$5)*'Equipe Técnica'!$C$13</f>
        <v>272.49997966901145</v>
      </c>
      <c r="AA21" s="6">
        <f>(I21/$AC$5)*'Equipe Técnica'!$C$13</f>
        <v>326.99997560281378</v>
      </c>
      <c r="AB21" s="6">
        <f>(L21/$AC$5)*'Equipe Técnica'!$C$13</f>
        <v>572.24995730492412</v>
      </c>
      <c r="AC21" s="6">
        <f>(M21/$AC$5)*'Equipe Técnica'!$C$13</f>
        <v>1117.2499166429468</v>
      </c>
      <c r="AD21" s="6">
        <f t="shared" si="24"/>
        <v>542.79135247602903</v>
      </c>
      <c r="AE21" s="6">
        <f t="shared" si="25"/>
        <v>617.50734840983137</v>
      </c>
      <c r="AF21" s="6">
        <f t="shared" si="26"/>
        <v>953.72933011194164</v>
      </c>
      <c r="AG21" s="6">
        <f t="shared" si="27"/>
        <v>1983.2152894499641</v>
      </c>
      <c r="AH21" s="33"/>
      <c r="AI21" s="73" t="str">
        <f t="shared" si="12"/>
        <v>APS Encantado</v>
      </c>
      <c r="AJ21" s="84">
        <f>VLOOKUP(AI21,Unidades!D$5:H$36,5,)</f>
        <v>0.2288</v>
      </c>
      <c r="AK21" s="82">
        <f t="shared" si="28"/>
        <v>666.98201392254452</v>
      </c>
      <c r="AL21" s="82">
        <f t="shared" si="29"/>
        <v>758.7930297260009</v>
      </c>
      <c r="AM21" s="82">
        <f t="shared" si="30"/>
        <v>1171.9426008415539</v>
      </c>
      <c r="AN21" s="82">
        <f t="shared" si="31"/>
        <v>2436.9749476761162</v>
      </c>
      <c r="AO21" s="82">
        <f t="shared" si="32"/>
        <v>1318.3180362778137</v>
      </c>
      <c r="AP21" s="82">
        <f t="shared" si="33"/>
        <v>3954.9541088334408</v>
      </c>
      <c r="AQ21" s="82">
        <f t="shared" si="34"/>
        <v>5273.2721451112548</v>
      </c>
      <c r="AR21" s="86"/>
      <c r="AS21" s="188"/>
      <c r="AT21" s="189"/>
      <c r="AU21" s="189"/>
      <c r="AV21" s="85"/>
      <c r="AW21" s="85"/>
    </row>
    <row r="22" spans="2:66" ht="15" customHeight="1">
      <c r="B22" s="73" t="s">
        <v>242</v>
      </c>
      <c r="C22" s="69">
        <f>VLOOKUP($B22,Unidades!$D$5:$N$36,6,FALSE())</f>
        <v>334.4</v>
      </c>
      <c r="D22" s="69">
        <f>VLOOKUP($B22,Unidades!$D$5:$N$36,7,FALSE())</f>
        <v>296</v>
      </c>
      <c r="E22" s="69">
        <f>VLOOKUP($B22,Unidades!$D$5:$N$36,8,FALSE())</f>
        <v>38.4</v>
      </c>
      <c r="F22" s="69">
        <f>VLOOKUP($B22,Unidades!$D$5:$N$36,9,FALSE())</f>
        <v>0</v>
      </c>
      <c r="G22" s="69">
        <f t="shared" si="35"/>
        <v>309.44</v>
      </c>
      <c r="H22" s="70">
        <f t="shared" si="36"/>
        <v>1.5</v>
      </c>
      <c r="I22" s="70">
        <f t="shared" si="37"/>
        <v>1.7999999999999998</v>
      </c>
      <c r="J22" s="70" t="str">
        <f>VLOOKUP($B22,Unidades!$D$5:$N$36,10,FALSE())</f>
        <v>NÃO</v>
      </c>
      <c r="K22" s="70" t="str">
        <f>VLOOKUP($B22,Unidades!$D$5:$N$36,11,FALSE())</f>
        <v>NÃO</v>
      </c>
      <c r="L22" s="70">
        <f t="shared" si="38"/>
        <v>1.6500000000000001</v>
      </c>
      <c r="M22" s="70">
        <f t="shared" si="39"/>
        <v>1.6500000000000001</v>
      </c>
      <c r="N22" s="70">
        <f t="shared" si="40"/>
        <v>30.15</v>
      </c>
      <c r="O22" s="71">
        <f t="shared" si="6"/>
        <v>1523.7809999999999</v>
      </c>
      <c r="P22" s="32"/>
      <c r="Q22" s="73" t="str">
        <f t="shared" si="7"/>
        <v>APS TEUTÔNIA</v>
      </c>
      <c r="R22" s="6">
        <f t="shared" si="20"/>
        <v>75.81</v>
      </c>
      <c r="S22" s="6">
        <f t="shared" si="21"/>
        <v>90.971999999999994</v>
      </c>
      <c r="T22" s="6">
        <f t="shared" si="22"/>
        <v>83.391000000000005</v>
      </c>
      <c r="U22" s="6">
        <f t="shared" si="23"/>
        <v>83.391000000000005</v>
      </c>
      <c r="V22" s="6">
        <f>VLOOKUP(Q22,'Desl. Base Novo Hamburgo'!$C$5:$S$26,13,FALSE())*($C$32+$D$32+$E$32*(VLOOKUP(Q22,'Desl. Base Novo Hamburgo'!$C$5:$S$26,17,FALSE())/12))</f>
        <v>117.05509027777778</v>
      </c>
      <c r="W22" s="6">
        <f>VLOOKUP(Q22,'Desl. Base Novo Hamburgo'!$C$5:$S$26,15,FALSE())*(2+(VLOOKUP(Q22,'Desl. Base Novo Hamburgo'!$C$5:$S$26,17,FALSE())/12))</f>
        <v>0</v>
      </c>
      <c r="X22" s="6">
        <f>VLOOKUP(Q22,'Desl. Base Novo Hamburgo'!$C$5:$Q$26,14,FALSE())</f>
        <v>11</v>
      </c>
      <c r="Y22" s="6">
        <f>VLOOKUP(Q22,'Desl. Base Novo Hamburgo'!$C$5:Q$26,13,FALSE())*'Desl. Base Novo Hamburgo'!$E$31+'Desl. Base Novo Hamburgo'!$E$32*N22/12</f>
        <v>128.25062500000001</v>
      </c>
      <c r="Z22" s="6">
        <f>(H22/$AC$5)*'Equipe Técnica'!$C$13</f>
        <v>204.3749847517586</v>
      </c>
      <c r="AA22" s="6">
        <f>(I22/$AC$5)*'Equipe Técnica'!$C$13</f>
        <v>245.24998170211029</v>
      </c>
      <c r="AB22" s="6">
        <f>(L22/$AC$5)*'Equipe Técnica'!$C$13</f>
        <v>224.81248322693449</v>
      </c>
      <c r="AC22" s="6">
        <f>(M22/$AC$5)*'Equipe Técnica'!$C$13</f>
        <v>224.81248322693449</v>
      </c>
      <c r="AD22" s="6">
        <f t="shared" si="24"/>
        <v>442.06227861140769</v>
      </c>
      <c r="AE22" s="6">
        <f t="shared" si="25"/>
        <v>498.09927556175938</v>
      </c>
      <c r="AF22" s="6">
        <f t="shared" si="26"/>
        <v>470.08077708658362</v>
      </c>
      <c r="AG22" s="6">
        <f t="shared" si="27"/>
        <v>470.08077708658362</v>
      </c>
      <c r="AH22" s="33"/>
      <c r="AI22" s="73" t="str">
        <f t="shared" si="12"/>
        <v>APS TEUTÔNIA</v>
      </c>
      <c r="AJ22" s="84">
        <f>VLOOKUP(AI22,Unidades!D$5:H$36,5,)</f>
        <v>0.2354</v>
      </c>
      <c r="AK22" s="82">
        <f t="shared" si="28"/>
        <v>546.12373899653312</v>
      </c>
      <c r="AL22" s="82">
        <f t="shared" si="29"/>
        <v>615.35184502899756</v>
      </c>
      <c r="AM22" s="82">
        <f t="shared" si="30"/>
        <v>580.73779201276545</v>
      </c>
      <c r="AN22" s="82">
        <f t="shared" si="31"/>
        <v>580.73779201276545</v>
      </c>
      <c r="AO22" s="82">
        <f t="shared" si="32"/>
        <v>896.42546867605699</v>
      </c>
      <c r="AP22" s="82">
        <f t="shared" si="33"/>
        <v>2689.2764060281711</v>
      </c>
      <c r="AQ22" s="82">
        <f t="shared" si="34"/>
        <v>3585.701874704228</v>
      </c>
      <c r="AR22" s="86"/>
      <c r="AS22" s="188"/>
      <c r="AT22" s="189"/>
      <c r="AU22" s="189"/>
      <c r="AV22" s="85"/>
      <c r="AW22" s="85"/>
    </row>
    <row r="23" spans="2:66" ht="15" customHeight="1">
      <c r="B23" s="73" t="s">
        <v>238</v>
      </c>
      <c r="C23" s="69">
        <f>VLOOKUP($B23,Unidades!$D$5:$N$36,6,FALSE())</f>
        <v>1953.81</v>
      </c>
      <c r="D23" s="69">
        <f>VLOOKUP($B23,Unidades!$D$5:$N$36,7,FALSE())</f>
        <v>838.95</v>
      </c>
      <c r="E23" s="69">
        <f>VLOOKUP($B23,Unidades!$D$5:$N$36,8,FALSE())</f>
        <v>565.28</v>
      </c>
      <c r="F23" s="69">
        <f>VLOOKUP($B23,Unidades!$D$5:$N$36,9,FALSE())</f>
        <v>549.58000000000004</v>
      </c>
      <c r="G23" s="69">
        <f t="shared" si="0"/>
        <v>1091.7560000000001</v>
      </c>
      <c r="H23" s="70">
        <f t="shared" si="1"/>
        <v>2</v>
      </c>
      <c r="I23" s="70">
        <f t="shared" si="2"/>
        <v>2.4</v>
      </c>
      <c r="J23" s="70" t="str">
        <f>VLOOKUP($B23,Unidades!$D$5:$N$36,10,FALSE())</f>
        <v>NÃO</v>
      </c>
      <c r="K23" s="70" t="str">
        <f>VLOOKUP($B23,Unidades!$D$5:$N$36,11,FALSE())</f>
        <v>SIM</v>
      </c>
      <c r="L23" s="70">
        <f t="shared" si="3"/>
        <v>2.2000000000000002</v>
      </c>
      <c r="M23" s="70">
        <f t="shared" si="4"/>
        <v>6.2</v>
      </c>
      <c r="N23" s="70">
        <f t="shared" si="5"/>
        <v>44.2</v>
      </c>
      <c r="O23" s="71">
        <f t="shared" si="6"/>
        <v>2447.3339999999998</v>
      </c>
      <c r="P23" s="32"/>
      <c r="Q23" s="73" t="str">
        <f t="shared" si="7"/>
        <v>APS TAQUARA</v>
      </c>
      <c r="R23" s="6">
        <f t="shared" si="20"/>
        <v>101.08</v>
      </c>
      <c r="S23" s="6">
        <f t="shared" si="21"/>
        <v>121.29599999999999</v>
      </c>
      <c r="T23" s="6">
        <f t="shared" si="22"/>
        <v>111.188</v>
      </c>
      <c r="U23" s="6">
        <f t="shared" si="23"/>
        <v>526.81399999999996</v>
      </c>
      <c r="V23" s="6">
        <f>VLOOKUP(Q23,'Desl. Base Novo Hamburgo'!$C$5:$S$26,13,FALSE())*($C$32+$D$32+$E$32*(VLOOKUP(Q23,'Desl. Base Novo Hamburgo'!$C$5:$S$26,17,FALSE())/12))</f>
        <v>68.986840277777773</v>
      </c>
      <c r="W23" s="6">
        <f>VLOOKUP(Q23,'Desl. Base Novo Hamburgo'!$C$5:$S$26,15,FALSE())*(2+(VLOOKUP(Q23,'Desl. Base Novo Hamburgo'!$C$5:$S$26,17,FALSE())/12))</f>
        <v>0</v>
      </c>
      <c r="X23" s="6">
        <f>VLOOKUP(Q23,'Desl. Base Novo Hamburgo'!$C$5:$Q$26,14,FALSE())</f>
        <v>9.5500000000000007</v>
      </c>
      <c r="Y23" s="6">
        <f>VLOOKUP(Q23,'Desl. Base Novo Hamburgo'!$C$5:Q$26,13,FALSE())*'Desl. Base Novo Hamburgo'!$E$31+'Desl. Base Novo Hamburgo'!$E$32*N23/12</f>
        <v>90.892916666666679</v>
      </c>
      <c r="Z23" s="6">
        <f>(H23/$AC$5)*'Equipe Técnica'!$C$13</f>
        <v>272.49997966901145</v>
      </c>
      <c r="AA23" s="6">
        <f>(I23/$AC$5)*'Equipe Técnica'!$C$13</f>
        <v>326.99997560281378</v>
      </c>
      <c r="AB23" s="6">
        <f>(L23/$AC$5)*'Equipe Técnica'!$C$13</f>
        <v>299.74997763591261</v>
      </c>
      <c r="AC23" s="6">
        <f>(M23/$AC$5)*'Equipe Técnica'!$C$13</f>
        <v>844.74993697393552</v>
      </c>
      <c r="AD23" s="6">
        <f t="shared" si="24"/>
        <v>480.58824721287112</v>
      </c>
      <c r="AE23" s="6">
        <f t="shared" si="25"/>
        <v>555.30424314667346</v>
      </c>
      <c r="AF23" s="6">
        <f t="shared" si="26"/>
        <v>517.94624517977229</v>
      </c>
      <c r="AG23" s="6">
        <f t="shared" si="27"/>
        <v>1478.5722045177952</v>
      </c>
      <c r="AH23" s="33"/>
      <c r="AI23" s="73" t="str">
        <f t="shared" si="12"/>
        <v>APS TAQUARA</v>
      </c>
      <c r="AJ23" s="84">
        <f>VLOOKUP(AI23,Unidades!D$5:H$36,5,)</f>
        <v>0.2354</v>
      </c>
      <c r="AK23" s="82">
        <f t="shared" si="28"/>
        <v>593.71872060678106</v>
      </c>
      <c r="AL23" s="82">
        <f t="shared" si="29"/>
        <v>686.02286198340039</v>
      </c>
      <c r="AM23" s="82">
        <f t="shared" si="30"/>
        <v>639.87079129509073</v>
      </c>
      <c r="AN23" s="82">
        <f t="shared" si="31"/>
        <v>1826.6281014612841</v>
      </c>
      <c r="AO23" s="82">
        <f t="shared" si="32"/>
        <v>1081.2571482722033</v>
      </c>
      <c r="AP23" s="82">
        <f t="shared" si="33"/>
        <v>3243.7714448166098</v>
      </c>
      <c r="AQ23" s="82">
        <f t="shared" si="34"/>
        <v>4325.0285930888131</v>
      </c>
      <c r="AR23" s="86"/>
      <c r="AV23" s="85"/>
      <c r="AW23" s="85"/>
    </row>
    <row r="24" spans="2:66" ht="15" customHeight="1">
      <c r="B24" s="73" t="s">
        <v>252</v>
      </c>
      <c r="C24" s="69">
        <f>VLOOKUP($B24,Unidades!$D$5:$N$36,6,FALSE())</f>
        <v>357.46</v>
      </c>
      <c r="D24" s="69">
        <f>VLOOKUP($B24,Unidades!$D$5:$N$36,7,FALSE())</f>
        <v>307.45999999999998</v>
      </c>
      <c r="E24" s="69">
        <f>VLOOKUP($B24,Unidades!$D$5:$N$36,8,FALSE())</f>
        <v>50</v>
      </c>
      <c r="F24" s="69">
        <f>VLOOKUP($B24,Unidades!$D$5:$N$36,9,FALSE())</f>
        <v>0</v>
      </c>
      <c r="G24" s="69">
        <f t="shared" si="0"/>
        <v>324.95999999999998</v>
      </c>
      <c r="H24" s="70">
        <f t="shared" si="1"/>
        <v>1.5</v>
      </c>
      <c r="I24" s="70">
        <f t="shared" si="2"/>
        <v>1.7999999999999998</v>
      </c>
      <c r="J24" s="70" t="str">
        <f>VLOOKUP($B24,Unidades!$D$5:$N$36,10,FALSE())</f>
        <v>NÃO</v>
      </c>
      <c r="K24" s="70" t="str">
        <f>VLOOKUP($B24,Unidades!$D$5:$N$36,11,FALSE())</f>
        <v>NÃO</v>
      </c>
      <c r="L24" s="70">
        <f t="shared" si="3"/>
        <v>1.6500000000000001</v>
      </c>
      <c r="M24" s="70">
        <f t="shared" si="4"/>
        <v>1.6500000000000001</v>
      </c>
      <c r="N24" s="70">
        <f t="shared" si="5"/>
        <v>30.15</v>
      </c>
      <c r="O24" s="71">
        <f t="shared" si="6"/>
        <v>1523.7809999999999</v>
      </c>
      <c r="P24" s="32"/>
      <c r="Q24" s="73" t="str">
        <f t="shared" si="7"/>
        <v>APS SANTO ANTÔNIO DA PATRULHA</v>
      </c>
      <c r="R24" s="6">
        <f t="shared" si="20"/>
        <v>75.81</v>
      </c>
      <c r="S24" s="6">
        <f t="shared" si="21"/>
        <v>90.971999999999994</v>
      </c>
      <c r="T24" s="6">
        <f t="shared" si="22"/>
        <v>83.391000000000005</v>
      </c>
      <c r="U24" s="6">
        <f t="shared" si="23"/>
        <v>83.391000000000005</v>
      </c>
      <c r="V24" s="6">
        <f>VLOOKUP(Q24,'Desl. Base Novo Hamburgo'!$C$5:$S$26,13,FALSE())*($C$32+$D$32+$E$32*(VLOOKUP(Q24,'Desl. Base Novo Hamburgo'!$C$5:$S$26,17,FALSE())/12))</f>
        <v>68.986840277777773</v>
      </c>
      <c r="W24" s="6">
        <f>VLOOKUP(Q24,'Desl. Base Novo Hamburgo'!$C$5:$S$26,15,FALSE())*(2+(VLOOKUP(Q24,'Desl. Base Novo Hamburgo'!$C$5:$S$26,17,FALSE())/12))</f>
        <v>0</v>
      </c>
      <c r="X24" s="6">
        <f>VLOOKUP(Q24,'Desl. Base Novo Hamburgo'!$C$5:$Q$26,14,FALSE())</f>
        <v>9.5500000000000007</v>
      </c>
      <c r="Y24" s="6">
        <f>VLOOKUP(Q24,'Desl. Base Novo Hamburgo'!$C$5:Q$26,13,FALSE())*'Desl. Base Novo Hamburgo'!$E$31+'Desl. Base Novo Hamburgo'!$E$32*N24/12</f>
        <v>82.755625000000009</v>
      </c>
      <c r="Z24" s="6">
        <f>(H24/$AC$5)*'Equipe Técnica'!$C$13</f>
        <v>204.3749847517586</v>
      </c>
      <c r="AA24" s="6">
        <f>(I24/$AC$5)*'Equipe Técnica'!$C$13</f>
        <v>245.24998170211029</v>
      </c>
      <c r="AB24" s="6">
        <f>(L24/$AC$5)*'Equipe Técnica'!$C$13</f>
        <v>224.81248322693449</v>
      </c>
      <c r="AC24" s="6">
        <f>(M24/$AC$5)*'Equipe Técnica'!$C$13</f>
        <v>224.81248322693449</v>
      </c>
      <c r="AD24" s="6">
        <f t="shared" si="24"/>
        <v>382.05391019035505</v>
      </c>
      <c r="AE24" s="6">
        <f t="shared" si="25"/>
        <v>438.0909071407068</v>
      </c>
      <c r="AF24" s="6">
        <f t="shared" si="26"/>
        <v>410.07240866553099</v>
      </c>
      <c r="AG24" s="6">
        <f t="shared" si="27"/>
        <v>410.07240866553099</v>
      </c>
      <c r="AH24" s="33"/>
      <c r="AI24" s="73" t="str">
        <f t="shared" si="12"/>
        <v>APS SANTO ANTÔNIO DA PATRULHA</v>
      </c>
      <c r="AJ24" s="84">
        <f>VLOOKUP(AI24,Unidades!D$5:H$36,5,)</f>
        <v>0.2487</v>
      </c>
      <c r="AK24" s="82">
        <f t="shared" si="28"/>
        <v>477.07071765469635</v>
      </c>
      <c r="AL24" s="82">
        <f t="shared" si="29"/>
        <v>547.0441157466006</v>
      </c>
      <c r="AM24" s="82">
        <f t="shared" si="30"/>
        <v>512.05741670064856</v>
      </c>
      <c r="AN24" s="82">
        <f t="shared" si="31"/>
        <v>512.05741670064856</v>
      </c>
      <c r="AO24" s="82">
        <f t="shared" si="32"/>
        <v>787.4331104120588</v>
      </c>
      <c r="AP24" s="82">
        <f t="shared" si="33"/>
        <v>2362.2993312361764</v>
      </c>
      <c r="AQ24" s="82">
        <f t="shared" si="34"/>
        <v>3149.7324416482352</v>
      </c>
      <c r="AR24" s="86"/>
      <c r="AV24" s="86"/>
      <c r="AW24" s="86"/>
    </row>
    <row r="25" spans="2:66" ht="15" customHeight="1">
      <c r="B25" s="73" t="s">
        <v>250</v>
      </c>
      <c r="C25" s="69">
        <f>VLOOKUP($B25,Unidades!$D$5:$N$36,6,FALSE())</f>
        <v>2644.69</v>
      </c>
      <c r="D25" s="69">
        <f>VLOOKUP($B25,Unidades!$D$5:$N$36,7,FALSE())</f>
        <v>837.46</v>
      </c>
      <c r="E25" s="69">
        <f>VLOOKUP($B25,Unidades!$D$5:$N$36,8,FALSE())</f>
        <v>775.81</v>
      </c>
      <c r="F25" s="69">
        <f>VLOOKUP($B25,Unidades!$D$5:$N$36,9,FALSE())</f>
        <v>1031.42</v>
      </c>
      <c r="G25" s="69">
        <f t="shared" si="0"/>
        <v>1212.1355000000001</v>
      </c>
      <c r="H25" s="70">
        <f t="shared" si="1"/>
        <v>2</v>
      </c>
      <c r="I25" s="70">
        <f t="shared" si="2"/>
        <v>2.4</v>
      </c>
      <c r="J25" s="70" t="str">
        <f>VLOOKUP($B25,Unidades!$D$5:$N$36,10,FALSE())</f>
        <v>SIM</v>
      </c>
      <c r="K25" s="70" t="str">
        <f>VLOOKUP($B25,Unidades!$D$5:$N$36,11,FALSE())</f>
        <v>SIM</v>
      </c>
      <c r="L25" s="70">
        <f t="shared" si="3"/>
        <v>4.2</v>
      </c>
      <c r="M25" s="70">
        <f t="shared" si="4"/>
        <v>8.1999999999999993</v>
      </c>
      <c r="N25" s="70">
        <f t="shared" si="5"/>
        <v>50.2</v>
      </c>
      <c r="O25" s="71">
        <f t="shared" si="6"/>
        <v>2819.4340000000002</v>
      </c>
      <c r="P25" s="32"/>
      <c r="Q25" s="73" t="str">
        <f t="shared" si="7"/>
        <v>APS OSÓRIO</v>
      </c>
      <c r="R25" s="6">
        <f t="shared" si="20"/>
        <v>101.08</v>
      </c>
      <c r="S25" s="6">
        <f t="shared" si="21"/>
        <v>121.29599999999999</v>
      </c>
      <c r="T25" s="6">
        <f t="shared" si="22"/>
        <v>212.268</v>
      </c>
      <c r="U25" s="6">
        <f t="shared" si="23"/>
        <v>696.75399999999991</v>
      </c>
      <c r="V25" s="6">
        <f>VLOOKUP(Q25,'Desl. Base Novo Hamburgo'!$C$5:$S$26,13,FALSE())*($C$32+$D$32+$E$32*(VLOOKUP(Q25,'Desl. Base Novo Hamburgo'!$C$5:$S$26,17,FALSE())/12))</f>
        <v>157.55704166666666</v>
      </c>
      <c r="W25" s="6">
        <f>VLOOKUP(Q25,'Desl. Base Novo Hamburgo'!$C$5:$S$26,15,FALSE())*(2+(VLOOKUP(Q25,'Desl. Base Novo Hamburgo'!$C$5:$S$26,17,FALSE())/12))</f>
        <v>0</v>
      </c>
      <c r="X25" s="6">
        <f>VLOOKUP(Q25,'Desl. Base Novo Hamburgo'!$C$5:$Q$26,14,FALSE())</f>
        <v>23.2</v>
      </c>
      <c r="Y25" s="6">
        <f>VLOOKUP(Q25,'Desl. Base Novo Hamburgo'!$C$5:Q$26,13,FALSE())*'Desl. Base Novo Hamburgo'!$E$31+'Desl. Base Novo Hamburgo'!$E$32*N25/12</f>
        <v>178.19666666666666</v>
      </c>
      <c r="Z25" s="6">
        <f>(H25/$AC$5)*'Equipe Técnica'!$C$13</f>
        <v>272.49997966901145</v>
      </c>
      <c r="AA25" s="6">
        <f>(I25/$AC$5)*'Equipe Técnica'!$C$13</f>
        <v>326.99997560281378</v>
      </c>
      <c r="AB25" s="6">
        <f>(L25/$AC$5)*'Equipe Técnica'!$C$13</f>
        <v>572.24995730492412</v>
      </c>
      <c r="AC25" s="6">
        <f>(M25/$AC$5)*'Equipe Técnica'!$C$13</f>
        <v>1117.2499166429468</v>
      </c>
      <c r="AD25" s="6">
        <f t="shared" si="24"/>
        <v>600.28758493216935</v>
      </c>
      <c r="AE25" s="6">
        <f t="shared" si="25"/>
        <v>675.00358086597157</v>
      </c>
      <c r="AF25" s="6">
        <f t="shared" si="26"/>
        <v>1011.2255625680821</v>
      </c>
      <c r="AG25" s="6">
        <f t="shared" si="27"/>
        <v>2040.7115219061047</v>
      </c>
      <c r="AH25" s="33"/>
      <c r="AI25" s="73" t="str">
        <f t="shared" si="12"/>
        <v>APS OSÓRIO</v>
      </c>
      <c r="AJ25" s="84">
        <f>VLOOKUP(AI25,Unidades!D$5:H$36,5,)</f>
        <v>0.2223</v>
      </c>
      <c r="AK25" s="82">
        <f t="shared" si="28"/>
        <v>733.73151506259057</v>
      </c>
      <c r="AL25" s="82">
        <f t="shared" si="29"/>
        <v>825.05687689247702</v>
      </c>
      <c r="AM25" s="82">
        <f t="shared" si="30"/>
        <v>1236.0210051269667</v>
      </c>
      <c r="AN25" s="82">
        <f t="shared" si="31"/>
        <v>2494.3616932258319</v>
      </c>
      <c r="AO25" s="82">
        <f t="shared" si="32"/>
        <v>1422.61744931673</v>
      </c>
      <c r="AP25" s="82">
        <f t="shared" si="33"/>
        <v>4267.8523479501901</v>
      </c>
      <c r="AQ25" s="82">
        <f t="shared" si="34"/>
        <v>5690.4697972669201</v>
      </c>
      <c r="AR25" s="86"/>
      <c r="AV25" s="85"/>
      <c r="AW25" s="85"/>
    </row>
    <row r="26" spans="2:66" ht="15" customHeight="1">
      <c r="B26" s="73" t="s">
        <v>248</v>
      </c>
      <c r="C26" s="69">
        <f>VLOOKUP($B26,Unidades!$D$5:$N$36,6,FALSE())</f>
        <v>1097.56</v>
      </c>
      <c r="D26" s="69">
        <f>VLOOKUP($B26,Unidades!$D$5:$N$36,7,FALSE())</f>
        <v>460.43</v>
      </c>
      <c r="E26" s="69">
        <f>VLOOKUP($B26,Unidades!$D$5:$N$36,8,FALSE())</f>
        <v>428.32</v>
      </c>
      <c r="F26" s="69">
        <f>VLOOKUP($B26,Unidades!$D$5:$N$36,9,FALSE())</f>
        <v>208.81</v>
      </c>
      <c r="G26" s="69">
        <f t="shared" si="0"/>
        <v>631.22299999999996</v>
      </c>
      <c r="H26" s="70">
        <f t="shared" si="1"/>
        <v>1.5</v>
      </c>
      <c r="I26" s="70">
        <f t="shared" si="2"/>
        <v>1.7999999999999998</v>
      </c>
      <c r="J26" s="70" t="str">
        <f>VLOOKUP($B26,Unidades!$D$5:$N$36,10,FALSE())</f>
        <v>NÃO</v>
      </c>
      <c r="K26" s="70" t="str">
        <f>VLOOKUP($B26,Unidades!$D$5:$N$36,11,FALSE())</f>
        <v>SIM</v>
      </c>
      <c r="L26" s="70">
        <f t="shared" si="3"/>
        <v>1.6500000000000001</v>
      </c>
      <c r="M26" s="70">
        <f t="shared" si="4"/>
        <v>5.65</v>
      </c>
      <c r="N26" s="70">
        <f t="shared" si="5"/>
        <v>34.15</v>
      </c>
      <c r="O26" s="71">
        <f t="shared" si="6"/>
        <v>1920.4704999999999</v>
      </c>
      <c r="P26" s="32"/>
      <c r="Q26" s="73" t="str">
        <f t="shared" si="7"/>
        <v>APS BUTIÁ</v>
      </c>
      <c r="R26" s="6">
        <f t="shared" si="20"/>
        <v>75.81</v>
      </c>
      <c r="S26" s="6">
        <f t="shared" si="21"/>
        <v>90.971999999999994</v>
      </c>
      <c r="T26" s="6">
        <f t="shared" si="22"/>
        <v>83.391000000000005</v>
      </c>
      <c r="U26" s="6">
        <f t="shared" si="23"/>
        <v>480.08050000000003</v>
      </c>
      <c r="V26" s="6">
        <f>VLOOKUP(Q26,'Desl. Base Novo Hamburgo'!$C$5:$S$26,13,FALSE())*($C$32+$D$32+$E$32*(VLOOKUP(Q26,'Desl. Base Novo Hamburgo'!$C$5:$S$26,17,FALSE())/12))</f>
        <v>100.58726388888888</v>
      </c>
      <c r="W26" s="6">
        <f>VLOOKUP(Q26,'Desl. Base Novo Hamburgo'!$C$5:$S$26,15,FALSE())*(2+(VLOOKUP(Q26,'Desl. Base Novo Hamburgo'!$C$5:$S$26,17,FALSE())/12))</f>
        <v>0</v>
      </c>
      <c r="X26" s="6">
        <f>VLOOKUP(Q26,'Desl. Base Novo Hamburgo'!$C$5:$Q$26,14,FALSE())</f>
        <v>0</v>
      </c>
      <c r="Y26" s="6">
        <f>VLOOKUP(Q26,'Desl. Base Novo Hamburgo'!$C$5:Q$26,13,FALSE())*'Desl. Base Novo Hamburgo'!$E$31+'Desl. Base Novo Hamburgo'!$E$32*N26/12</f>
        <v>114.98104166666666</v>
      </c>
      <c r="Z26" s="6">
        <f>(H26/$AC$5)*'Equipe Técnica'!$C$13</f>
        <v>204.3749847517586</v>
      </c>
      <c r="AA26" s="6">
        <f>(I26/$AC$5)*'Equipe Técnica'!$C$13</f>
        <v>245.24998170211029</v>
      </c>
      <c r="AB26" s="6">
        <f>(L26/$AC$5)*'Equipe Técnica'!$C$13</f>
        <v>224.81248322693449</v>
      </c>
      <c r="AC26" s="6">
        <f>(M26/$AC$5)*'Equipe Técnica'!$C$13</f>
        <v>769.81244256495745</v>
      </c>
      <c r="AD26" s="6">
        <f t="shared" si="24"/>
        <v>416.33338826053051</v>
      </c>
      <c r="AE26" s="6">
        <f t="shared" si="25"/>
        <v>472.3703852108822</v>
      </c>
      <c r="AF26" s="6">
        <f t="shared" si="26"/>
        <v>444.35188673570639</v>
      </c>
      <c r="AG26" s="6">
        <f t="shared" si="27"/>
        <v>1386.0413460737295</v>
      </c>
      <c r="AH26" s="33"/>
      <c r="AI26" s="73" t="str">
        <f t="shared" si="12"/>
        <v>APS BUTIÁ</v>
      </c>
      <c r="AJ26" s="84">
        <f>VLOOKUP(AI26,Unidades!D$5:H$36,5,)</f>
        <v>0.2354</v>
      </c>
      <c r="AK26" s="82">
        <f t="shared" si="28"/>
        <v>514.33826785705946</v>
      </c>
      <c r="AL26" s="82">
        <f t="shared" si="29"/>
        <v>583.5663738895239</v>
      </c>
      <c r="AM26" s="82">
        <f t="shared" si="30"/>
        <v>548.95232087329168</v>
      </c>
      <c r="AN26" s="82">
        <f t="shared" si="31"/>
        <v>1712.3154789394855</v>
      </c>
      <c r="AO26" s="82">
        <f t="shared" si="32"/>
        <v>943.04540254407311</v>
      </c>
      <c r="AP26" s="82">
        <f t="shared" si="33"/>
        <v>2829.1362076322193</v>
      </c>
      <c r="AQ26" s="82">
        <f t="shared" si="34"/>
        <v>3772.1816101762925</v>
      </c>
      <c r="AR26" s="86"/>
      <c r="AV26" s="85"/>
      <c r="AW26" s="85"/>
    </row>
    <row r="27" spans="2:66" ht="15" customHeight="1">
      <c r="B27" s="73" t="s">
        <v>254</v>
      </c>
      <c r="C27" s="69">
        <f>VLOOKUP($B27,Unidades!$D$5:$N$36,6,FALSE())</f>
        <v>1460.23</v>
      </c>
      <c r="D27" s="69">
        <f>VLOOKUP($B27,Unidades!$D$5:$N$36,7,FALSE())</f>
        <v>628.98</v>
      </c>
      <c r="E27" s="69">
        <f>VLOOKUP($B27,Unidades!$D$5:$N$36,8,FALSE())</f>
        <v>552.14</v>
      </c>
      <c r="F27" s="69">
        <f>VLOOKUP($B27,Unidades!$D$5:$N$36,9,FALSE())</f>
        <v>279.11</v>
      </c>
      <c r="G27" s="69">
        <f t="shared" si="0"/>
        <v>850.1400000000001</v>
      </c>
      <c r="H27" s="70">
        <f t="shared" si="1"/>
        <v>2</v>
      </c>
      <c r="I27" s="70">
        <f t="shared" si="2"/>
        <v>2.4</v>
      </c>
      <c r="J27" s="70" t="str">
        <f>VLOOKUP($B27,Unidades!$D$5:$N$36,10,FALSE())</f>
        <v>NÃO</v>
      </c>
      <c r="K27" s="70" t="str">
        <f>VLOOKUP($B27,Unidades!$D$5:$N$36,11,FALSE())</f>
        <v>SIM</v>
      </c>
      <c r="L27" s="70">
        <f t="shared" si="3"/>
        <v>2.2000000000000002</v>
      </c>
      <c r="M27" s="70">
        <f t="shared" si="4"/>
        <v>6.2</v>
      </c>
      <c r="N27" s="70">
        <f t="shared" si="5"/>
        <v>44.2</v>
      </c>
      <c r="O27" s="71">
        <f t="shared" si="6"/>
        <v>2447.3339999999998</v>
      </c>
      <c r="P27" s="32"/>
      <c r="Q27" s="73" t="str">
        <f t="shared" si="7"/>
        <v>APS SÃO JERÔNIMO</v>
      </c>
      <c r="R27" s="6">
        <f t="shared" si="20"/>
        <v>101.08</v>
      </c>
      <c r="S27" s="6">
        <f t="shared" si="21"/>
        <v>121.29599999999999</v>
      </c>
      <c r="T27" s="6">
        <f t="shared" si="22"/>
        <v>111.188</v>
      </c>
      <c r="U27" s="6">
        <f t="shared" si="23"/>
        <v>526.81399999999996</v>
      </c>
      <c r="V27" s="6">
        <f>VLOOKUP(Q27,'Desl. Base Novo Hamburgo'!$C$5:$S$26,13,FALSE())*($C$32+$D$32+$E$32*(VLOOKUP(Q27,'Desl. Base Novo Hamburgo'!$C$5:$S$26,17,FALSE())/12))</f>
        <v>100.58726388888888</v>
      </c>
      <c r="W27" s="6">
        <f>VLOOKUP(Q27,'Desl. Base Novo Hamburgo'!$C$5:$S$26,15,FALSE())*(2+(VLOOKUP(Q27,'Desl. Base Novo Hamburgo'!$C$5:$S$26,17,FALSE())/12))</f>
        <v>0</v>
      </c>
      <c r="X27" s="6">
        <f>VLOOKUP(Q27,'Desl. Base Novo Hamburgo'!$C$5:$Q$26,14,FALSE())</f>
        <v>0</v>
      </c>
      <c r="Y27" s="6">
        <f>VLOOKUP(Q27,'Desl. Base Novo Hamburgo'!$C$5:Q$26,13,FALSE())*'Desl. Base Novo Hamburgo'!$E$31+'Desl. Base Novo Hamburgo'!$E$32*N27/12</f>
        <v>120.80166666666666</v>
      </c>
      <c r="Z27" s="6">
        <f>(H27/$AC$5)*'Equipe Técnica'!$C$13</f>
        <v>272.49997966901145</v>
      </c>
      <c r="AA27" s="6">
        <f>(I27/$AC$5)*'Equipe Técnica'!$C$13</f>
        <v>326.99997560281378</v>
      </c>
      <c r="AB27" s="6">
        <f>(L27/$AC$5)*'Equipe Técnica'!$C$13</f>
        <v>299.74997763591261</v>
      </c>
      <c r="AC27" s="6">
        <f>(M27/$AC$5)*'Equipe Técnica'!$C$13</f>
        <v>844.74993697393552</v>
      </c>
      <c r="AD27" s="6">
        <f t="shared" si="24"/>
        <v>513.40456738830972</v>
      </c>
      <c r="AE27" s="6">
        <f t="shared" si="25"/>
        <v>588.12056332211205</v>
      </c>
      <c r="AF27" s="6">
        <f t="shared" si="26"/>
        <v>550.76256535521088</v>
      </c>
      <c r="AG27" s="6">
        <f t="shared" si="27"/>
        <v>1511.3885246932336</v>
      </c>
      <c r="AH27" s="33"/>
      <c r="AI27" s="73" t="str">
        <f t="shared" si="12"/>
        <v>APS SÃO JERÔNIMO</v>
      </c>
      <c r="AJ27" s="84">
        <f>VLOOKUP(AI27,Unidades!D$5:H$36,5,)</f>
        <v>0.2354</v>
      </c>
      <c r="AK27" s="82">
        <f t="shared" si="28"/>
        <v>634.2600025515178</v>
      </c>
      <c r="AL27" s="82">
        <f t="shared" si="29"/>
        <v>726.56414392813724</v>
      </c>
      <c r="AM27" s="82">
        <f t="shared" si="30"/>
        <v>680.41207323982758</v>
      </c>
      <c r="AN27" s="82">
        <f t="shared" si="31"/>
        <v>1867.1693834060209</v>
      </c>
      <c r="AO27" s="82">
        <f t="shared" si="32"/>
        <v>1145.4475113513699</v>
      </c>
      <c r="AP27" s="82">
        <f t="shared" si="33"/>
        <v>3436.3425340541098</v>
      </c>
      <c r="AQ27" s="82">
        <f t="shared" si="34"/>
        <v>4581.7900454054798</v>
      </c>
      <c r="AR27" s="86"/>
      <c r="AV27" s="86"/>
      <c r="AW27" s="86"/>
    </row>
    <row r="28" spans="2:66" ht="15" customHeight="1">
      <c r="B28" s="73" t="s">
        <v>240</v>
      </c>
      <c r="C28" s="69">
        <f>VLOOKUP($B28,Unidades!$D$5:$N$36,6,FALSE())</f>
        <v>914.18</v>
      </c>
      <c r="D28" s="69">
        <f>VLOOKUP($B28,Unidades!$D$5:$N$36,7,FALSE())</f>
        <v>423.72</v>
      </c>
      <c r="E28" s="69">
        <f>VLOOKUP($B28,Unidades!$D$5:$N$36,8,FALSE())</f>
        <v>63.03</v>
      </c>
      <c r="F28" s="69">
        <f>VLOOKUP($B28,Unidades!$D$5:$N$36,9,FALSE())</f>
        <v>427.43</v>
      </c>
      <c r="G28" s="69">
        <f t="shared" si="0"/>
        <v>488.52350000000001</v>
      </c>
      <c r="H28" s="70">
        <f t="shared" si="1"/>
        <v>1.5</v>
      </c>
      <c r="I28" s="70">
        <f t="shared" si="2"/>
        <v>1.7999999999999998</v>
      </c>
      <c r="J28" s="70" t="str">
        <f>VLOOKUP($B28,Unidades!$D$5:$N$36,10,FALSE())</f>
        <v>NÃO</v>
      </c>
      <c r="K28" s="70" t="str">
        <f>VLOOKUP($B28,Unidades!$D$5:$N$36,11,FALSE())</f>
        <v>SIM</v>
      </c>
      <c r="L28" s="70">
        <f t="shared" si="3"/>
        <v>1.6500000000000001</v>
      </c>
      <c r="M28" s="70">
        <f t="shared" si="4"/>
        <v>5.65</v>
      </c>
      <c r="N28" s="70">
        <f t="shared" si="5"/>
        <v>34.15</v>
      </c>
      <c r="O28" s="71">
        <f t="shared" si="6"/>
        <v>1920.4704999999999</v>
      </c>
      <c r="P28" s="32"/>
      <c r="Q28" s="73" t="str">
        <f t="shared" si="7"/>
        <v>APS TAQUARI</v>
      </c>
      <c r="R28" s="6">
        <f t="shared" si="20"/>
        <v>75.81</v>
      </c>
      <c r="S28" s="6">
        <f t="shared" si="21"/>
        <v>90.971999999999994</v>
      </c>
      <c r="T28" s="6">
        <f t="shared" si="22"/>
        <v>83.391000000000005</v>
      </c>
      <c r="U28" s="6">
        <f t="shared" si="23"/>
        <v>480.08050000000003</v>
      </c>
      <c r="V28" s="6">
        <f>VLOOKUP(Q28,'Desl. Base Novo Hamburgo'!$C$5:$S$26,13,FALSE())*($C$32+$D$32+$E$32*(VLOOKUP(Q28,'Desl. Base Novo Hamburgo'!$C$5:$S$26,17,FALSE())/12))</f>
        <v>145.98505555555556</v>
      </c>
      <c r="W28" s="6">
        <f>VLOOKUP(Q28,'Desl. Base Novo Hamburgo'!$C$5:$S$26,15,FALSE())*(2+(VLOOKUP(Q28,'Desl. Base Novo Hamburgo'!$C$5:$S$26,17,FALSE())/12))</f>
        <v>0</v>
      </c>
      <c r="X28" s="6">
        <f>VLOOKUP(Q28,'Desl. Base Novo Hamburgo'!$C$5:$Q$26,14,FALSE())</f>
        <v>0</v>
      </c>
      <c r="Y28" s="6">
        <f>VLOOKUP(Q28,'Desl. Base Novo Hamburgo'!$C$5:Q$26,13,FALSE())*'Desl. Base Novo Hamburgo'!$E$31+'Desl. Base Novo Hamburgo'!$E$32*N28/12</f>
        <v>157.94854166666664</v>
      </c>
      <c r="Z28" s="6">
        <f>(H28/$AC$5)*'Equipe Técnica'!$C$13</f>
        <v>204.3749847517586</v>
      </c>
      <c r="AA28" s="6">
        <f>(I28/$AC$5)*'Equipe Técnica'!$C$13</f>
        <v>245.24998170211029</v>
      </c>
      <c r="AB28" s="6">
        <f>(L28/$AC$5)*'Equipe Técnica'!$C$13</f>
        <v>224.81248322693449</v>
      </c>
      <c r="AC28" s="6">
        <f>(M28/$AC$5)*'Equipe Técnica'!$C$13</f>
        <v>769.81244256495745</v>
      </c>
      <c r="AD28" s="6">
        <f t="shared" si="24"/>
        <v>472.14304615526737</v>
      </c>
      <c r="AE28" s="6">
        <f t="shared" si="25"/>
        <v>528.18004310561901</v>
      </c>
      <c r="AF28" s="6">
        <f t="shared" si="26"/>
        <v>500.16154463044325</v>
      </c>
      <c r="AG28" s="6">
        <f t="shared" si="27"/>
        <v>1441.8510039684661</v>
      </c>
      <c r="AH28" s="33"/>
      <c r="AI28" s="73" t="str">
        <f t="shared" si="12"/>
        <v>APS TAQUARI</v>
      </c>
      <c r="AJ28" s="84">
        <f>VLOOKUP(AI28,Unidades!D$5:H$36,5,)</f>
        <v>0.2223</v>
      </c>
      <c r="AK28" s="82">
        <f t="shared" si="28"/>
        <v>577.10044531558333</v>
      </c>
      <c r="AL28" s="82">
        <f t="shared" si="29"/>
        <v>645.59446668799808</v>
      </c>
      <c r="AM28" s="82">
        <f t="shared" si="30"/>
        <v>611.34745600179076</v>
      </c>
      <c r="AN28" s="82">
        <f t="shared" si="31"/>
        <v>1762.3744821506559</v>
      </c>
      <c r="AO28" s="82">
        <f t="shared" si="32"/>
        <v>1041.0543837244359</v>
      </c>
      <c r="AP28" s="82">
        <f t="shared" si="33"/>
        <v>3123.1631511733076</v>
      </c>
      <c r="AQ28" s="82">
        <f t="shared" si="34"/>
        <v>4164.2175348977435</v>
      </c>
      <c r="AR28" s="86"/>
      <c r="AS28" s="86"/>
      <c r="AT28" s="86"/>
      <c r="AU28" s="86"/>
      <c r="AV28" s="86"/>
      <c r="AW28" s="86"/>
    </row>
    <row r="29" spans="2:66" s="60" customFormat="1" ht="20.100000000000001" customHeight="1">
      <c r="B29" s="171" t="s">
        <v>80</v>
      </c>
      <c r="C29" s="101">
        <f t="shared" ref="C29:I29" si="47">SUM(C7:C28)</f>
        <v>31722.959999999999</v>
      </c>
      <c r="D29" s="101">
        <f t="shared" si="47"/>
        <v>12573.979999999998</v>
      </c>
      <c r="E29" s="101">
        <f t="shared" si="47"/>
        <v>10448.619999999997</v>
      </c>
      <c r="F29" s="101">
        <f t="shared" si="47"/>
        <v>8700.36</v>
      </c>
      <c r="G29" s="101">
        <f t="shared" si="47"/>
        <v>17101.032999999999</v>
      </c>
      <c r="H29" s="102">
        <f t="shared" si="47"/>
        <v>39</v>
      </c>
      <c r="I29" s="102">
        <f t="shared" si="47"/>
        <v>46.799999999999976</v>
      </c>
      <c r="J29" s="102">
        <f>COUNTIF(J7:J28,"SIM")</f>
        <v>4</v>
      </c>
      <c r="K29" s="102">
        <f>COUNTIF(K7:K28,"SIM")</f>
        <v>14</v>
      </c>
      <c r="L29" s="102">
        <f>SUM(L7:L28)</f>
        <v>50.9</v>
      </c>
      <c r="M29" s="102">
        <f>SUM(M7:M28)</f>
        <v>106.90000000000005</v>
      </c>
      <c r="N29" s="102">
        <f>SUM(N7:N28)</f>
        <v>863.90000000000009</v>
      </c>
      <c r="O29" s="103">
        <f>SUM(O7:O28)</f>
        <v>46712.004000000008</v>
      </c>
      <c r="P29" s="59"/>
      <c r="Q29" s="109" t="s">
        <v>80</v>
      </c>
      <c r="R29" s="106">
        <f t="shared" ref="R29:AG29" si="48">SUM(R7:R28)</f>
        <v>1971.0599999999995</v>
      </c>
      <c r="S29" s="106">
        <f t="shared" si="48"/>
        <v>2365.2720000000004</v>
      </c>
      <c r="T29" s="106">
        <f t="shared" si="48"/>
        <v>2572.4860000000008</v>
      </c>
      <c r="U29" s="106">
        <f t="shared" si="48"/>
        <v>8453.2240000000002</v>
      </c>
      <c r="V29" s="106">
        <f t="shared" si="48"/>
        <v>1384.1542916666667</v>
      </c>
      <c r="W29" s="106">
        <f t="shared" si="48"/>
        <v>0</v>
      </c>
      <c r="X29" s="106">
        <f t="shared" si="48"/>
        <v>94.3</v>
      </c>
      <c r="Y29" s="106">
        <f t="shared" si="48"/>
        <v>1816.3270833333336</v>
      </c>
      <c r="Z29" s="106">
        <f t="shared" si="48"/>
        <v>5313.7496035457225</v>
      </c>
      <c r="AA29" s="106">
        <f t="shared" si="48"/>
        <v>6376.4995242548684</v>
      </c>
      <c r="AB29" s="106">
        <f t="shared" si="48"/>
        <v>6935.1244825763424</v>
      </c>
      <c r="AC29" s="106">
        <f t="shared" si="48"/>
        <v>14565.12391330866</v>
      </c>
      <c r="AD29" s="106">
        <f t="shared" si="48"/>
        <v>9365.7241561773044</v>
      </c>
      <c r="AE29" s="106">
        <f t="shared" si="48"/>
        <v>10822.68607688645</v>
      </c>
      <c r="AF29" s="106">
        <f t="shared" si="48"/>
        <v>11588.525035207924</v>
      </c>
      <c r="AG29" s="106">
        <f t="shared" si="48"/>
        <v>25099.262465940235</v>
      </c>
      <c r="AH29" s="23"/>
      <c r="AI29" s="268" t="s">
        <v>80</v>
      </c>
      <c r="AJ29" s="268"/>
      <c r="AK29" s="107">
        <f t="shared" ref="AK29:AQ29" si="49">SUM(AK7:AK28)</f>
        <v>11516.22923149234</v>
      </c>
      <c r="AL29" s="107">
        <f t="shared" si="49"/>
        <v>13307.470518009313</v>
      </c>
      <c r="AM29" s="107">
        <f t="shared" si="49"/>
        <v>14243.213651084254</v>
      </c>
      <c r="AN29" s="107">
        <f t="shared" si="49"/>
        <v>30845.580872393726</v>
      </c>
      <c r="AO29" s="107">
        <f t="shared" si="49"/>
        <v>20896.386752042297</v>
      </c>
      <c r="AP29" s="107">
        <f t="shared" si="49"/>
        <v>62689.160256126881</v>
      </c>
      <c r="AQ29" s="107">
        <f t="shared" si="49"/>
        <v>83585.547008169189</v>
      </c>
      <c r="AR29" s="86"/>
      <c r="AS29" s="86"/>
      <c r="AT29" s="86"/>
      <c r="AU29" s="86"/>
      <c r="AV29" s="86"/>
      <c r="AW29" s="86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</row>
    <row r="30" spans="2:66" ht="18.399999999999999" customHeight="1">
      <c r="B30" s="5"/>
      <c r="C30" s="5"/>
      <c r="D30" s="5"/>
      <c r="E30" s="5"/>
      <c r="F30" s="5"/>
      <c r="G30" s="5"/>
      <c r="H30" s="36"/>
      <c r="I30" s="5"/>
      <c r="J30" s="5"/>
      <c r="O30" s="5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D30" s="27"/>
      <c r="AE30" s="27"/>
      <c r="AF30" s="27"/>
      <c r="AG30" s="27"/>
      <c r="AH30" s="27"/>
      <c r="AS30" s="34"/>
      <c r="AT30" s="34"/>
      <c r="AU30" s="34"/>
      <c r="AV30" s="34"/>
      <c r="AW30" s="34"/>
    </row>
    <row r="31" spans="2:66" ht="40.35" customHeight="1">
      <c r="B31" s="264" t="s">
        <v>24</v>
      </c>
      <c r="C31" s="98" t="str">
        <f>'Base Caxias do Sul'!C19</f>
        <v>Oficial de Manutenção Predial</v>
      </c>
      <c r="D31" s="98" t="str">
        <f>'Base Caxias do Sul'!D19</f>
        <v>Ajudante (ref. SINAPI/88241)</v>
      </c>
      <c r="E31" s="166" t="str">
        <f>'Base Caxias do Sul'!E19</f>
        <v>Eletrotécnico (ref. SINAPI/88266)</v>
      </c>
      <c r="N31" s="294"/>
      <c r="O31" s="165"/>
      <c r="R31" s="157"/>
      <c r="Z31" s="157"/>
      <c r="AA31" s="157"/>
      <c r="AB31" s="157"/>
      <c r="AC31" s="157"/>
    </row>
    <row r="32" spans="2:66" ht="18.399999999999999" customHeight="1">
      <c r="B32" s="264"/>
      <c r="C32" s="6">
        <f>'Base Caxias do Sul'!C20</f>
        <v>27.39</v>
      </c>
      <c r="D32" s="6">
        <f>'Base Caxias do Sul'!D20</f>
        <v>23.15</v>
      </c>
      <c r="E32" s="6">
        <f>'Base Caxias do Sul'!E20</f>
        <v>34.43</v>
      </c>
      <c r="N32" s="294"/>
      <c r="O32" s="165"/>
    </row>
    <row r="33" spans="2:15" ht="40.5" customHeight="1">
      <c r="B33" s="25" t="str">
        <f>'Base Caxias do Sul'!B21</f>
        <v>* Tabela SINAPI Outubro/2023 (Não Desonerado)</v>
      </c>
      <c r="N33" s="165"/>
      <c r="O33" s="165"/>
    </row>
    <row r="34" spans="2:15">
      <c r="N34" s="165"/>
      <c r="O34" s="165"/>
    </row>
    <row r="35" spans="2:15">
      <c r="N35" s="165"/>
      <c r="O35" s="165"/>
    </row>
    <row r="36" spans="2:15" ht="15.75" customHeight="1">
      <c r="N36" s="165"/>
      <c r="O36" s="165"/>
    </row>
    <row r="37" spans="2:15">
      <c r="N37" s="165"/>
      <c r="O37" s="165"/>
    </row>
    <row r="38" spans="2:15">
      <c r="N38" s="165"/>
      <c r="O38" s="165"/>
    </row>
    <row r="39" spans="2:15">
      <c r="N39" s="165"/>
      <c r="O39" s="165"/>
    </row>
    <row r="40" spans="2:15">
      <c r="N40" s="165"/>
      <c r="O40" s="165"/>
    </row>
    <row r="41" spans="2:15">
      <c r="N41" s="165"/>
      <c r="O41" s="165"/>
    </row>
    <row r="65539" ht="12.75" customHeight="1"/>
    <row r="65540" ht="12.75" customHeight="1"/>
    <row r="65541" ht="12.75" customHeight="1"/>
  </sheetData>
  <mergeCells count="45">
    <mergeCell ref="AT11:AU11"/>
    <mergeCell ref="AT12:AU12"/>
    <mergeCell ref="B31:B32"/>
    <mergeCell ref="AT13:AU13"/>
    <mergeCell ref="AT14:AU14"/>
    <mergeCell ref="AT15:AU15"/>
    <mergeCell ref="AI29:AJ29"/>
    <mergeCell ref="N31:N32"/>
    <mergeCell ref="AL5:AL6"/>
    <mergeCell ref="AM5:AM6"/>
    <mergeCell ref="Z5:AB5"/>
    <mergeCell ref="B2:O2"/>
    <mergeCell ref="AT10:AU10"/>
    <mergeCell ref="AN5:AN6"/>
    <mergeCell ref="AO5:AO6"/>
    <mergeCell ref="AP5:AP6"/>
    <mergeCell ref="AQ5:AQ6"/>
    <mergeCell ref="AS5:AS6"/>
    <mergeCell ref="AO4:AQ4"/>
    <mergeCell ref="AE5:AE6"/>
    <mergeCell ref="AF5:AF6"/>
    <mergeCell ref="AG5:AG6"/>
    <mergeCell ref="AJ5:AJ6"/>
    <mergeCell ref="AK5:AK6"/>
    <mergeCell ref="V5:V6"/>
    <mergeCell ref="W5:W6"/>
    <mergeCell ref="X5:X6"/>
    <mergeCell ref="Y5:Y6"/>
    <mergeCell ref="AD5:AD6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S4:AW4"/>
    <mergeCell ref="G5:G6"/>
    <mergeCell ref="N5:N6"/>
  </mergeCells>
  <printOptions horizontalCentered="1"/>
  <pageMargins left="5.7638888888888899E-2" right="4.72222222222222E-2" top="0.33263888888888898" bottom="0.196527777777778" header="0.51180555555555496" footer="0.51180555555555496"/>
  <pageSetup paperSize="9" pageOrder="overThenDown" orientation="portrait" useFirstPageNumber="1" horizontalDpi="300" verticalDpi="300"/>
  <ignoredErrors>
    <ignoredError sqref="AD29 AK7:AN7 AK29:AN29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FF"/>
  </sheetPr>
  <dimension ref="B1:IW64"/>
  <sheetViews>
    <sheetView showGridLines="0" zoomScale="110" zoomScaleNormal="110" workbookViewId="0">
      <selection activeCell="L29" sqref="L29"/>
    </sheetView>
  </sheetViews>
  <sheetFormatPr defaultRowHeight="14.25"/>
  <cols>
    <col min="1" max="1" width="5.625" customWidth="1"/>
    <col min="2" max="2" width="12.625" style="61" customWidth="1"/>
    <col min="3" max="3" width="32.625" style="61" customWidth="1"/>
    <col min="4" max="17" width="9.625" style="61" customWidth="1"/>
    <col min="18" max="18" width="10.75" style="61" customWidth="1"/>
    <col min="19" max="19" width="14.875" style="61" customWidth="1"/>
    <col min="20" max="66" width="10.75" style="61" customWidth="1"/>
    <col min="67" max="257" width="10.75" style="38" customWidth="1"/>
    <col min="258" max="1024" width="10.625" customWidth="1"/>
  </cols>
  <sheetData>
    <row r="1" spans="2:19" ht="15" customHeight="1"/>
    <row r="2" spans="2:19" ht="24.95" customHeight="1">
      <c r="B2" s="244" t="str">
        <f>"DESLOCAMENTO BASE "&amp;Resumo!B6</f>
        <v>DESLOCAMENTO BASE NOVO HAMBURGO</v>
      </c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6"/>
    </row>
    <row r="3" spans="2:19" ht="15" customHeigh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2:19" ht="38.25">
      <c r="B4" s="10" t="s">
        <v>82</v>
      </c>
      <c r="C4" s="10" t="str">
        <f>"Rota (saída e retorno "&amp;Resumo!B6&amp;")"</f>
        <v>Rota (saída e retorno NOVO HAMBURGO)</v>
      </c>
      <c r="D4" s="10" t="s">
        <v>83</v>
      </c>
      <c r="E4" s="10" t="s">
        <v>84</v>
      </c>
      <c r="F4" s="10" t="s">
        <v>85</v>
      </c>
      <c r="G4" s="10" t="s">
        <v>86</v>
      </c>
      <c r="H4" s="10" t="s">
        <v>87</v>
      </c>
      <c r="I4" s="10" t="s">
        <v>88</v>
      </c>
      <c r="J4" s="10" t="s">
        <v>89</v>
      </c>
      <c r="K4" s="10" t="s">
        <v>90</v>
      </c>
      <c r="L4" s="10" t="s">
        <v>91</v>
      </c>
      <c r="M4" s="39" t="s">
        <v>109</v>
      </c>
      <c r="N4" s="10" t="s">
        <v>93</v>
      </c>
      <c r="O4" s="10" t="s">
        <v>94</v>
      </c>
      <c r="P4" s="10" t="s">
        <v>95</v>
      </c>
      <c r="Q4" s="10" t="s">
        <v>60</v>
      </c>
      <c r="R4" s="217" t="s">
        <v>307</v>
      </c>
      <c r="S4" s="217" t="s">
        <v>308</v>
      </c>
    </row>
    <row r="5" spans="2:19" ht="15.95" customHeight="1">
      <c r="B5" s="269">
        <v>1</v>
      </c>
      <c r="C5" s="81" t="s">
        <v>246</v>
      </c>
      <c r="D5" s="179">
        <v>0</v>
      </c>
      <c r="E5" s="179">
        <v>0</v>
      </c>
      <c r="F5" s="179">
        <v>0</v>
      </c>
      <c r="G5" s="46">
        <f>SUM(D5:F5)</f>
        <v>0</v>
      </c>
      <c r="H5" s="180">
        <v>0</v>
      </c>
      <c r="I5" s="180">
        <v>0</v>
      </c>
      <c r="J5" s="180">
        <v>0</v>
      </c>
      <c r="K5" s="48">
        <f>SUM(H5:J5)</f>
        <v>0</v>
      </c>
      <c r="L5" s="181">
        <f>K5/60</f>
        <v>0</v>
      </c>
      <c r="M5" s="182">
        <v>0</v>
      </c>
      <c r="N5" s="183">
        <v>1</v>
      </c>
      <c r="O5" s="186">
        <f>L5/N5</f>
        <v>0</v>
      </c>
      <c r="P5" s="184">
        <v>0</v>
      </c>
      <c r="Q5" s="184">
        <v>0</v>
      </c>
      <c r="R5" s="218" t="str">
        <f>INDEX('Base Novo Hamburgo'!$K$7:$K$28,MATCH('Desl. Base Novo Hamburgo'!C5,'Base Novo Hamburgo'!$B$7:$B$28,0))</f>
        <v>NÃO</v>
      </c>
      <c r="S5" s="218">
        <v>0</v>
      </c>
    </row>
    <row r="6" spans="2:19" ht="15.95" customHeight="1">
      <c r="B6" s="270"/>
      <c r="C6" s="81" t="s">
        <v>228</v>
      </c>
      <c r="D6" s="179">
        <v>1.3</v>
      </c>
      <c r="E6" s="179">
        <v>1.4</v>
      </c>
      <c r="F6" s="179">
        <v>0</v>
      </c>
      <c r="G6" s="46">
        <f>SUM(D6:F6)</f>
        <v>2.7</v>
      </c>
      <c r="H6" s="180">
        <v>6</v>
      </c>
      <c r="I6" s="180">
        <v>6</v>
      </c>
      <c r="J6" s="180">
        <v>0</v>
      </c>
      <c r="K6" s="48">
        <f>SUM(H6:J6)</f>
        <v>12</v>
      </c>
      <c r="L6" s="181">
        <f>K6/60</f>
        <v>0.2</v>
      </c>
      <c r="M6" s="182">
        <v>0</v>
      </c>
      <c r="N6" s="183">
        <v>1</v>
      </c>
      <c r="O6" s="186">
        <f>L6/N6</f>
        <v>0.2</v>
      </c>
      <c r="P6" s="184">
        <v>0</v>
      </c>
      <c r="Q6" s="184">
        <v>0</v>
      </c>
      <c r="R6" s="218" t="str">
        <f>INDEX('Base Novo Hamburgo'!$K$7:$K$28,MATCH('Desl. Base Novo Hamburgo'!C6,'Base Novo Hamburgo'!$B$7:$B$28,0))</f>
        <v>NÃO</v>
      </c>
      <c r="S6" s="218">
        <v>0</v>
      </c>
    </row>
    <row r="7" spans="2:19" ht="15.95" customHeight="1">
      <c r="B7" s="269">
        <v>2</v>
      </c>
      <c r="C7" s="81" t="s">
        <v>214</v>
      </c>
      <c r="D7" s="271">
        <v>8</v>
      </c>
      <c r="E7" s="271">
        <v>8.5</v>
      </c>
      <c r="F7" s="271">
        <v>1.2</v>
      </c>
      <c r="G7" s="272">
        <f>SUM(D7:F7)</f>
        <v>17.7</v>
      </c>
      <c r="H7" s="295">
        <v>14</v>
      </c>
      <c r="I7" s="295">
        <v>15</v>
      </c>
      <c r="J7" s="295">
        <v>3</v>
      </c>
      <c r="K7" s="276">
        <f>SUM(H7:J7)</f>
        <v>32</v>
      </c>
      <c r="L7" s="296">
        <f>K7/60</f>
        <v>0.53333333333333333</v>
      </c>
      <c r="M7" s="298">
        <v>0</v>
      </c>
      <c r="N7" s="299">
        <v>2</v>
      </c>
      <c r="O7" s="186">
        <f>L7/N7</f>
        <v>0.26666666666666666</v>
      </c>
      <c r="P7" s="219">
        <v>0</v>
      </c>
      <c r="Q7" s="219">
        <v>0</v>
      </c>
      <c r="R7" s="218" t="str">
        <f>INDEX('Base Novo Hamburgo'!$K$7:$K$28,MATCH('Desl. Base Novo Hamburgo'!C7,'Base Novo Hamburgo'!$B$7:$B$28,0))</f>
        <v>SIM</v>
      </c>
      <c r="S7" s="218">
        <v>1</v>
      </c>
    </row>
    <row r="8" spans="2:19" ht="15.95" customHeight="1">
      <c r="B8" s="270"/>
      <c r="C8" s="81" t="s">
        <v>212</v>
      </c>
      <c r="D8" s="271"/>
      <c r="E8" s="271"/>
      <c r="F8" s="271"/>
      <c r="G8" s="273"/>
      <c r="H8" s="295"/>
      <c r="I8" s="295"/>
      <c r="J8" s="295"/>
      <c r="K8" s="277"/>
      <c r="L8" s="297"/>
      <c r="M8" s="298"/>
      <c r="N8" s="299"/>
      <c r="O8" s="186">
        <f>O7</f>
        <v>0.26666666666666666</v>
      </c>
      <c r="P8" s="219">
        <v>0</v>
      </c>
      <c r="Q8" s="219">
        <v>0</v>
      </c>
      <c r="R8" s="218" t="str">
        <f>INDEX('Base Novo Hamburgo'!$K$7:$K$28,MATCH('Desl. Base Novo Hamburgo'!C8,'Base Novo Hamburgo'!$B$7:$B$28,0))</f>
        <v>SIM</v>
      </c>
      <c r="S8" s="218">
        <v>1</v>
      </c>
    </row>
    <row r="9" spans="2:19" ht="15.95" customHeight="1">
      <c r="B9" s="269">
        <v>3</v>
      </c>
      <c r="C9" s="81" t="s">
        <v>222</v>
      </c>
      <c r="D9" s="271">
        <v>47.9</v>
      </c>
      <c r="E9" s="271">
        <f>55.4-D9</f>
        <v>7.5</v>
      </c>
      <c r="F9" s="271">
        <v>56.3</v>
      </c>
      <c r="G9" s="272">
        <f>SUM(D9:F9)</f>
        <v>111.69999999999999</v>
      </c>
      <c r="H9" s="295">
        <v>46</v>
      </c>
      <c r="I9" s="295">
        <v>16</v>
      </c>
      <c r="J9" s="295">
        <v>57</v>
      </c>
      <c r="K9" s="276">
        <f>SUM(H9:J9)</f>
        <v>119</v>
      </c>
      <c r="L9" s="296">
        <f t="shared" ref="L9" si="0">K9/60</f>
        <v>1.9833333333333334</v>
      </c>
      <c r="M9" s="298">
        <v>6.5</v>
      </c>
      <c r="N9" s="299">
        <v>2</v>
      </c>
      <c r="O9" s="186">
        <f t="shared" ref="O9" si="1">L9/N9</f>
        <v>0.9916666666666667</v>
      </c>
      <c r="P9" s="187">
        <f>M9/N9</f>
        <v>3.25</v>
      </c>
      <c r="Q9" s="219">
        <v>0</v>
      </c>
      <c r="R9" s="218" t="str">
        <f>INDEX('Base Novo Hamburgo'!$K$7:$K$28,MATCH('Desl. Base Novo Hamburgo'!C9,'Base Novo Hamburgo'!$B$7:$B$28,0))</f>
        <v>NÃO</v>
      </c>
      <c r="S9" s="218">
        <v>0</v>
      </c>
    </row>
    <row r="10" spans="2:19" ht="15.95" customHeight="1">
      <c r="B10" s="270"/>
      <c r="C10" s="81" t="s">
        <v>244</v>
      </c>
      <c r="D10" s="271"/>
      <c r="E10" s="271"/>
      <c r="F10" s="271"/>
      <c r="G10" s="273"/>
      <c r="H10" s="295"/>
      <c r="I10" s="295"/>
      <c r="J10" s="295"/>
      <c r="K10" s="277"/>
      <c r="L10" s="297"/>
      <c r="M10" s="298">
        <v>0</v>
      </c>
      <c r="N10" s="299"/>
      <c r="O10" s="186">
        <f>O9</f>
        <v>0.9916666666666667</v>
      </c>
      <c r="P10" s="187">
        <f>M9/N9</f>
        <v>3.25</v>
      </c>
      <c r="Q10" s="219">
        <v>0</v>
      </c>
      <c r="R10" s="218" t="str">
        <f>INDEX('Base Novo Hamburgo'!$K$7:$K$28,MATCH('Desl. Base Novo Hamburgo'!C10,'Base Novo Hamburgo'!$B$7:$B$28,0))</f>
        <v>NÃO</v>
      </c>
      <c r="S10" s="218">
        <v>0</v>
      </c>
    </row>
    <row r="11" spans="2:19" ht="15.95" customHeight="1">
      <c r="B11" s="269">
        <v>4</v>
      </c>
      <c r="C11" s="81" t="s">
        <v>216</v>
      </c>
      <c r="D11" s="271">
        <v>17.600000000000001</v>
      </c>
      <c r="E11" s="271">
        <f>27.9-D11</f>
        <v>10.299999999999997</v>
      </c>
      <c r="F11" s="271">
        <v>15.1</v>
      </c>
      <c r="G11" s="272">
        <f>SUM(D11:F11)</f>
        <v>43</v>
      </c>
      <c r="H11" s="295">
        <v>21</v>
      </c>
      <c r="I11" s="295">
        <v>17</v>
      </c>
      <c r="J11" s="295">
        <v>19</v>
      </c>
      <c r="K11" s="276">
        <f>SUM(H11:J11)</f>
        <v>57</v>
      </c>
      <c r="L11" s="296">
        <f t="shared" ref="L11" si="2">K11/60</f>
        <v>0.95</v>
      </c>
      <c r="M11" s="298">
        <v>0</v>
      </c>
      <c r="N11" s="299">
        <v>2</v>
      </c>
      <c r="O11" s="186">
        <f t="shared" ref="O11" si="3">L11/N11</f>
        <v>0.47499999999999998</v>
      </c>
      <c r="P11" s="219">
        <v>0</v>
      </c>
      <c r="Q11" s="219">
        <v>0</v>
      </c>
      <c r="R11" s="218" t="str">
        <f>INDEX('Base Novo Hamburgo'!$K$7:$K$28,MATCH('Desl. Base Novo Hamburgo'!C11,'Base Novo Hamburgo'!$B$7:$B$28,0))</f>
        <v>SIM</v>
      </c>
      <c r="S11" s="218">
        <v>1</v>
      </c>
    </row>
    <row r="12" spans="2:19" ht="15.95" customHeight="1">
      <c r="B12" s="270"/>
      <c r="C12" s="81" t="s">
        <v>236</v>
      </c>
      <c r="D12" s="271"/>
      <c r="E12" s="271"/>
      <c r="F12" s="271"/>
      <c r="G12" s="273"/>
      <c r="H12" s="295"/>
      <c r="I12" s="295"/>
      <c r="J12" s="295"/>
      <c r="K12" s="277"/>
      <c r="L12" s="297"/>
      <c r="M12" s="298"/>
      <c r="N12" s="299"/>
      <c r="O12" s="186">
        <f>O11</f>
        <v>0.47499999999999998</v>
      </c>
      <c r="P12" s="219">
        <v>0</v>
      </c>
      <c r="Q12" s="219">
        <v>0</v>
      </c>
      <c r="R12" s="218" t="str">
        <f>INDEX('Base Novo Hamburgo'!$K$7:$K$28,MATCH('Desl. Base Novo Hamburgo'!C12,'Base Novo Hamburgo'!$B$7:$B$28,0))</f>
        <v>SIM</v>
      </c>
      <c r="S12" s="218">
        <v>1</v>
      </c>
    </row>
    <row r="13" spans="2:19" ht="15.95" customHeight="1">
      <c r="B13" s="269">
        <v>5</v>
      </c>
      <c r="C13" s="81" t="s">
        <v>230</v>
      </c>
      <c r="D13" s="271">
        <v>17</v>
      </c>
      <c r="E13" s="271">
        <v>15.3</v>
      </c>
      <c r="F13" s="271">
        <v>12</v>
      </c>
      <c r="G13" s="272">
        <f>SUM(D13:F13)</f>
        <v>44.3</v>
      </c>
      <c r="H13" s="295">
        <v>18</v>
      </c>
      <c r="I13" s="295">
        <v>25</v>
      </c>
      <c r="J13" s="295">
        <v>16</v>
      </c>
      <c r="K13" s="276">
        <f>SUM(H13:J13)</f>
        <v>59</v>
      </c>
      <c r="L13" s="296">
        <f t="shared" ref="L13" si="4">K13/60</f>
        <v>0.98333333333333328</v>
      </c>
      <c r="M13" s="298">
        <v>0</v>
      </c>
      <c r="N13" s="299">
        <v>2</v>
      </c>
      <c r="O13" s="186">
        <f t="shared" ref="O13" si="5">L13/N13</f>
        <v>0.49166666666666664</v>
      </c>
      <c r="P13" s="219">
        <v>0</v>
      </c>
      <c r="Q13" s="219">
        <v>0</v>
      </c>
      <c r="R13" s="218" t="str">
        <f>INDEX('Base Novo Hamburgo'!$K$7:$K$28,MATCH('Desl. Base Novo Hamburgo'!C13,'Base Novo Hamburgo'!$B$7:$B$28,0))</f>
        <v>NÃO</v>
      </c>
      <c r="S13" s="218">
        <v>1</v>
      </c>
    </row>
    <row r="14" spans="2:19" ht="15.95" customHeight="1">
      <c r="B14" s="270"/>
      <c r="C14" s="81" t="s">
        <v>232</v>
      </c>
      <c r="D14" s="271"/>
      <c r="E14" s="271"/>
      <c r="F14" s="271"/>
      <c r="G14" s="273"/>
      <c r="H14" s="295"/>
      <c r="I14" s="295"/>
      <c r="J14" s="295"/>
      <c r="K14" s="277"/>
      <c r="L14" s="297"/>
      <c r="M14" s="298"/>
      <c r="N14" s="299"/>
      <c r="O14" s="186">
        <f>O13</f>
        <v>0.49166666666666664</v>
      </c>
      <c r="P14" s="219">
        <v>0</v>
      </c>
      <c r="Q14" s="219">
        <v>0</v>
      </c>
      <c r="R14" s="218" t="str">
        <f>INDEX('Base Novo Hamburgo'!$K$7:$K$28,MATCH('Desl. Base Novo Hamburgo'!C14,'Base Novo Hamburgo'!$B$7:$B$28,0))</f>
        <v>SIM</v>
      </c>
      <c r="S14" s="218">
        <v>1</v>
      </c>
    </row>
    <row r="15" spans="2:19" ht="15.95" customHeight="1">
      <c r="B15" s="269">
        <v>6</v>
      </c>
      <c r="C15" s="81" t="s">
        <v>226</v>
      </c>
      <c r="D15" s="271">
        <v>42.9</v>
      </c>
      <c r="E15" s="271">
        <f>61.5-D15</f>
        <v>18.600000000000001</v>
      </c>
      <c r="F15" s="271">
        <v>35.299999999999997</v>
      </c>
      <c r="G15" s="272">
        <f>SUM(D15:F15)</f>
        <v>96.8</v>
      </c>
      <c r="H15" s="295">
        <v>43</v>
      </c>
      <c r="I15" s="295">
        <f>71-H15</f>
        <v>28</v>
      </c>
      <c r="J15" s="295">
        <v>36</v>
      </c>
      <c r="K15" s="276">
        <f>SUM(H15:J15)</f>
        <v>107</v>
      </c>
      <c r="L15" s="296">
        <f t="shared" ref="L15" si="6">K15/60</f>
        <v>1.7833333333333334</v>
      </c>
      <c r="M15" s="298">
        <v>11.9</v>
      </c>
      <c r="N15" s="299">
        <v>2</v>
      </c>
      <c r="O15" s="186">
        <f t="shared" ref="O15" si="7">L15/N15</f>
        <v>0.89166666666666672</v>
      </c>
      <c r="P15" s="187">
        <f>M15/N15</f>
        <v>5.95</v>
      </c>
      <c r="Q15" s="219">
        <v>0</v>
      </c>
      <c r="R15" s="218" t="str">
        <f>INDEX('Base Novo Hamburgo'!$K$7:$K$28,MATCH('Desl. Base Novo Hamburgo'!C15,'Base Novo Hamburgo'!$B$7:$B$28,0))</f>
        <v>SIM</v>
      </c>
      <c r="S15" s="218">
        <v>1</v>
      </c>
    </row>
    <row r="16" spans="2:19" ht="15.95" customHeight="1">
      <c r="B16" s="270"/>
      <c r="C16" s="81" t="s">
        <v>234</v>
      </c>
      <c r="D16" s="271"/>
      <c r="E16" s="271"/>
      <c r="F16" s="271"/>
      <c r="G16" s="273"/>
      <c r="H16" s="295"/>
      <c r="I16" s="295"/>
      <c r="J16" s="295"/>
      <c r="K16" s="277"/>
      <c r="L16" s="297"/>
      <c r="M16" s="298"/>
      <c r="N16" s="299"/>
      <c r="O16" s="186">
        <f>O15</f>
        <v>0.89166666666666672</v>
      </c>
      <c r="P16" s="187">
        <f>M15/N15</f>
        <v>5.95</v>
      </c>
      <c r="Q16" s="219">
        <v>0</v>
      </c>
      <c r="R16" s="218" t="str">
        <f>INDEX('Base Novo Hamburgo'!$K$7:$K$28,MATCH('Desl. Base Novo Hamburgo'!C16,'Base Novo Hamburgo'!$B$7:$B$28,0))</f>
        <v>SIM</v>
      </c>
      <c r="S16" s="218">
        <v>1</v>
      </c>
    </row>
    <row r="17" spans="2:19" ht="15.95" customHeight="1">
      <c r="B17" s="269">
        <v>7</v>
      </c>
      <c r="C17" s="81" t="s">
        <v>220</v>
      </c>
      <c r="D17" s="271">
        <v>106</v>
      </c>
      <c r="E17" s="271">
        <v>7</v>
      </c>
      <c r="F17" s="271">
        <v>109</v>
      </c>
      <c r="G17" s="272">
        <f>SUM(D17:F17)</f>
        <v>222</v>
      </c>
      <c r="H17" s="295">
        <v>90</v>
      </c>
      <c r="I17" s="295">
        <v>5</v>
      </c>
      <c r="J17" s="295">
        <v>96</v>
      </c>
      <c r="K17" s="276">
        <f>SUM(H17:J17)</f>
        <v>191</v>
      </c>
      <c r="L17" s="296">
        <f t="shared" ref="L17" si="8">K17/60</f>
        <v>3.1833333333333331</v>
      </c>
      <c r="M17" s="298">
        <v>11.6</v>
      </c>
      <c r="N17" s="299">
        <v>2</v>
      </c>
      <c r="O17" s="186">
        <f t="shared" ref="O17" si="9">L17/N17</f>
        <v>1.5916666666666666</v>
      </c>
      <c r="P17" s="187">
        <f>M17/N17</f>
        <v>5.8</v>
      </c>
      <c r="Q17" s="219">
        <v>0</v>
      </c>
      <c r="R17" s="218" t="str">
        <f>INDEX('Base Novo Hamburgo'!$K$7:$K$28,MATCH('Desl. Base Novo Hamburgo'!C17,'Base Novo Hamburgo'!$B$7:$B$28,0))</f>
        <v>SIM</v>
      </c>
      <c r="S17" s="218">
        <v>1</v>
      </c>
    </row>
    <row r="18" spans="2:19" ht="15.95" customHeight="1">
      <c r="B18" s="270"/>
      <c r="C18" s="81" t="s">
        <v>224</v>
      </c>
      <c r="D18" s="271"/>
      <c r="E18" s="271"/>
      <c r="F18" s="271"/>
      <c r="G18" s="273"/>
      <c r="H18" s="295"/>
      <c r="I18" s="295"/>
      <c r="J18" s="295"/>
      <c r="K18" s="277"/>
      <c r="L18" s="297"/>
      <c r="M18" s="298"/>
      <c r="N18" s="299"/>
      <c r="O18" s="186">
        <f>O17</f>
        <v>1.5916666666666666</v>
      </c>
      <c r="P18" s="187">
        <f>M17/N17</f>
        <v>5.8</v>
      </c>
      <c r="Q18" s="219">
        <v>0</v>
      </c>
      <c r="R18" s="218" t="str">
        <f>INDEX('Base Novo Hamburgo'!$K$7:$K$28,MATCH('Desl. Base Novo Hamburgo'!C18,'Base Novo Hamburgo'!$B$7:$B$28,0))</f>
        <v>NÃO</v>
      </c>
      <c r="S18" s="218">
        <v>1</v>
      </c>
    </row>
    <row r="19" spans="2:19" ht="15.95" customHeight="1">
      <c r="B19" s="269">
        <v>8</v>
      </c>
      <c r="C19" s="81" t="s">
        <v>218</v>
      </c>
      <c r="D19" s="271">
        <v>137</v>
      </c>
      <c r="E19" s="271">
        <f>174-D19</f>
        <v>37</v>
      </c>
      <c r="F19" s="271">
        <v>102</v>
      </c>
      <c r="G19" s="272">
        <f>SUM(D19:F19)</f>
        <v>276</v>
      </c>
      <c r="H19" s="295">
        <v>119</v>
      </c>
      <c r="I19" s="295">
        <f>173-H19</f>
        <v>54</v>
      </c>
      <c r="J19" s="295">
        <v>90</v>
      </c>
      <c r="K19" s="276">
        <f>SUM(H19:J19)</f>
        <v>263</v>
      </c>
      <c r="L19" s="296">
        <f t="shared" ref="L19" si="10">K19/60</f>
        <v>4.3833333333333337</v>
      </c>
      <c r="M19" s="298">
        <v>22</v>
      </c>
      <c r="N19" s="299">
        <v>2</v>
      </c>
      <c r="O19" s="186">
        <f t="shared" ref="O19" si="11">L19/N19</f>
        <v>2.1916666666666669</v>
      </c>
      <c r="P19" s="187">
        <f>M19/N19</f>
        <v>11</v>
      </c>
      <c r="Q19" s="219">
        <v>0</v>
      </c>
      <c r="R19" s="218" t="str">
        <f>INDEX('Base Novo Hamburgo'!$K$7:$K$28,MATCH('Desl. Base Novo Hamburgo'!C19,'Base Novo Hamburgo'!$B$7:$B$28,0))</f>
        <v>SIM</v>
      </c>
      <c r="S19" s="218">
        <v>1</v>
      </c>
    </row>
    <row r="20" spans="2:19" ht="15.95" customHeight="1">
      <c r="B20" s="270"/>
      <c r="C20" s="81" t="s">
        <v>242</v>
      </c>
      <c r="D20" s="271"/>
      <c r="E20" s="271"/>
      <c r="F20" s="271"/>
      <c r="G20" s="273"/>
      <c r="H20" s="295"/>
      <c r="I20" s="295"/>
      <c r="J20" s="295"/>
      <c r="K20" s="277"/>
      <c r="L20" s="297"/>
      <c r="M20" s="298"/>
      <c r="N20" s="299"/>
      <c r="O20" s="186">
        <f>O19</f>
        <v>2.1916666666666669</v>
      </c>
      <c r="P20" s="187">
        <f>M19/N19</f>
        <v>11</v>
      </c>
      <c r="Q20" s="219">
        <v>0</v>
      </c>
      <c r="R20" s="218" t="str">
        <f>INDEX('Base Novo Hamburgo'!$K$7:$K$28,MATCH('Desl. Base Novo Hamburgo'!C20,'Base Novo Hamburgo'!$B$7:$B$28,0))</f>
        <v>NÃO</v>
      </c>
      <c r="S20" s="218">
        <v>1</v>
      </c>
    </row>
    <row r="21" spans="2:19" ht="15.95" customHeight="1">
      <c r="B21" s="269">
        <v>9</v>
      </c>
      <c r="C21" s="81" t="s">
        <v>238</v>
      </c>
      <c r="D21" s="271">
        <v>38.9</v>
      </c>
      <c r="E21" s="271">
        <f>83.2-D21</f>
        <v>44.300000000000004</v>
      </c>
      <c r="F21" s="271">
        <v>81</v>
      </c>
      <c r="G21" s="272">
        <f>SUM(D21:F21)</f>
        <v>164.2</v>
      </c>
      <c r="H21" s="295">
        <v>36</v>
      </c>
      <c r="I21" s="295">
        <f>81-H21</f>
        <v>45</v>
      </c>
      <c r="J21" s="295">
        <v>74</v>
      </c>
      <c r="K21" s="276">
        <f>SUM(H21:J21)</f>
        <v>155</v>
      </c>
      <c r="L21" s="296">
        <f t="shared" ref="L21" si="12">K21/60</f>
        <v>2.5833333333333335</v>
      </c>
      <c r="M21" s="298">
        <v>19.100000000000001</v>
      </c>
      <c r="N21" s="299">
        <v>2</v>
      </c>
      <c r="O21" s="186">
        <f t="shared" ref="O21" si="13">L21/N21</f>
        <v>1.2916666666666667</v>
      </c>
      <c r="P21" s="187">
        <f>M21/N21</f>
        <v>9.5500000000000007</v>
      </c>
      <c r="Q21" s="219">
        <v>0</v>
      </c>
      <c r="R21" s="218" t="str">
        <f>INDEX('Base Novo Hamburgo'!$K$7:$K$28,MATCH('Desl. Base Novo Hamburgo'!C21,'Base Novo Hamburgo'!$B$7:$B$28,0))</f>
        <v>SIM</v>
      </c>
      <c r="S21" s="218">
        <v>1</v>
      </c>
    </row>
    <row r="22" spans="2:19" ht="15.95" customHeight="1">
      <c r="B22" s="270"/>
      <c r="C22" s="81" t="s">
        <v>252</v>
      </c>
      <c r="D22" s="301"/>
      <c r="E22" s="301"/>
      <c r="F22" s="301"/>
      <c r="G22" s="273"/>
      <c r="H22" s="303"/>
      <c r="I22" s="303"/>
      <c r="J22" s="303"/>
      <c r="K22" s="277"/>
      <c r="L22" s="304"/>
      <c r="M22" s="298"/>
      <c r="N22" s="302"/>
      <c r="O22" s="186">
        <f>O21</f>
        <v>1.2916666666666667</v>
      </c>
      <c r="P22" s="187">
        <f>M21/N21</f>
        <v>9.5500000000000007</v>
      </c>
      <c r="Q22" s="219">
        <v>0</v>
      </c>
      <c r="R22" s="218" t="str">
        <f>INDEX('Base Novo Hamburgo'!$K$7:$K$28,MATCH('Desl. Base Novo Hamburgo'!C22,'Base Novo Hamburgo'!$B$7:$B$28,0))</f>
        <v>NÃO</v>
      </c>
      <c r="S22" s="218">
        <v>1</v>
      </c>
    </row>
    <row r="23" spans="2:19" ht="15.95" customHeight="1">
      <c r="B23" s="40">
        <v>10</v>
      </c>
      <c r="C23" s="81" t="s">
        <v>250</v>
      </c>
      <c r="D23" s="179">
        <v>117</v>
      </c>
      <c r="E23" s="179">
        <v>116.5</v>
      </c>
      <c r="F23" s="179">
        <v>0</v>
      </c>
      <c r="G23" s="41">
        <f>SUM(D23:F23)</f>
        <v>233.5</v>
      </c>
      <c r="H23" s="180">
        <v>88</v>
      </c>
      <c r="I23" s="180">
        <v>89</v>
      </c>
      <c r="J23" s="180">
        <v>0</v>
      </c>
      <c r="K23" s="43">
        <f>SUM(H23:J23)</f>
        <v>177</v>
      </c>
      <c r="L23" s="186">
        <f>K23/60</f>
        <v>2.95</v>
      </c>
      <c r="M23" s="182">
        <v>23.2</v>
      </c>
      <c r="N23" s="183">
        <v>1</v>
      </c>
      <c r="O23" s="186">
        <f>L23</f>
        <v>2.95</v>
      </c>
      <c r="P23" s="182">
        <f>M23</f>
        <v>23.2</v>
      </c>
      <c r="Q23" s="219">
        <v>0</v>
      </c>
      <c r="R23" s="218" t="str">
        <f>INDEX('Base Novo Hamburgo'!$K$7:$K$28,MATCH('Desl. Base Novo Hamburgo'!C23,'Base Novo Hamburgo'!$B$7:$B$28,0))</f>
        <v>SIM</v>
      </c>
      <c r="S23" s="218">
        <v>1</v>
      </c>
    </row>
    <row r="24" spans="2:19" ht="15.95" customHeight="1">
      <c r="B24" s="269">
        <v>11</v>
      </c>
      <c r="C24" s="81" t="s">
        <v>248</v>
      </c>
      <c r="D24" s="271">
        <v>117</v>
      </c>
      <c r="E24" s="271">
        <v>35</v>
      </c>
      <c r="F24" s="271">
        <v>103</v>
      </c>
      <c r="G24" s="272">
        <f>SUM(D24:F24)</f>
        <v>255</v>
      </c>
      <c r="H24" s="295">
        <v>95</v>
      </c>
      <c r="I24" s="295">
        <v>42</v>
      </c>
      <c r="J24" s="295">
        <v>89</v>
      </c>
      <c r="K24" s="276">
        <f>SUM(H24:J24)</f>
        <v>226</v>
      </c>
      <c r="L24" s="296">
        <f t="shared" ref="L24" si="14">K24/60</f>
        <v>3.7666666666666666</v>
      </c>
      <c r="M24" s="298">
        <v>0</v>
      </c>
      <c r="N24" s="299">
        <v>2</v>
      </c>
      <c r="O24" s="186">
        <f t="shared" ref="O24" si="15">L24/N24</f>
        <v>1.8833333333333333</v>
      </c>
      <c r="P24" s="219">
        <v>0</v>
      </c>
      <c r="Q24" s="219">
        <v>0</v>
      </c>
      <c r="R24" s="218" t="str">
        <f>INDEX('Base Novo Hamburgo'!$K$7:$K$28,MATCH('Desl. Base Novo Hamburgo'!C24,'Base Novo Hamburgo'!$B$7:$B$28,0))</f>
        <v>SIM</v>
      </c>
      <c r="S24" s="218">
        <v>1</v>
      </c>
    </row>
    <row r="25" spans="2:19" ht="15.95" customHeight="1">
      <c r="B25" s="270"/>
      <c r="C25" s="81" t="s">
        <v>254</v>
      </c>
      <c r="D25" s="301"/>
      <c r="E25" s="301"/>
      <c r="F25" s="301"/>
      <c r="G25" s="273"/>
      <c r="H25" s="303"/>
      <c r="I25" s="303"/>
      <c r="J25" s="303"/>
      <c r="K25" s="277"/>
      <c r="L25" s="304"/>
      <c r="M25" s="298"/>
      <c r="N25" s="302"/>
      <c r="O25" s="186">
        <f>O24</f>
        <v>1.8833333333333333</v>
      </c>
      <c r="P25" s="219">
        <v>0</v>
      </c>
      <c r="Q25" s="219">
        <v>0</v>
      </c>
      <c r="R25" s="218" t="str">
        <f>INDEX('Base Novo Hamburgo'!$K$7:$K$28,MATCH('Desl. Base Novo Hamburgo'!C25,'Base Novo Hamburgo'!$B$7:$B$28,0))</f>
        <v>SIM</v>
      </c>
      <c r="S25" s="218">
        <v>1</v>
      </c>
    </row>
    <row r="26" spans="2:19" ht="15.95" customHeight="1">
      <c r="B26" s="40">
        <v>12</v>
      </c>
      <c r="C26" s="81" t="s">
        <v>240</v>
      </c>
      <c r="D26" s="179">
        <v>90.7</v>
      </c>
      <c r="E26" s="179">
        <v>90.4</v>
      </c>
      <c r="F26" s="179">
        <v>0</v>
      </c>
      <c r="G26" s="41">
        <f>SUM(D26:F26)</f>
        <v>181.10000000000002</v>
      </c>
      <c r="H26" s="180">
        <v>80</v>
      </c>
      <c r="I26" s="180">
        <v>84</v>
      </c>
      <c r="J26" s="180">
        <v>0</v>
      </c>
      <c r="K26" s="43">
        <f>SUM(H26:J26)</f>
        <v>164</v>
      </c>
      <c r="L26" s="186">
        <f>K26/60</f>
        <v>2.7333333333333334</v>
      </c>
      <c r="M26" s="185">
        <v>0</v>
      </c>
      <c r="N26" s="183">
        <v>1</v>
      </c>
      <c r="O26" s="186">
        <f>L26</f>
        <v>2.7333333333333334</v>
      </c>
      <c r="P26" s="182">
        <f>M26</f>
        <v>0</v>
      </c>
      <c r="Q26" s="219">
        <v>0</v>
      </c>
      <c r="R26" s="218" t="str">
        <f>INDEX('Base Novo Hamburgo'!$K$7:$K$28,MATCH('Desl. Base Novo Hamburgo'!C26,'Base Novo Hamburgo'!$B$7:$B$28,0))</f>
        <v>SIM</v>
      </c>
      <c r="S26" s="218">
        <v>1</v>
      </c>
    </row>
    <row r="27" spans="2:19" ht="21" customHeight="1">
      <c r="B27" s="300" t="s">
        <v>80</v>
      </c>
      <c r="C27" s="300"/>
      <c r="D27" s="300"/>
      <c r="E27" s="300"/>
      <c r="F27" s="300"/>
      <c r="G27" s="113">
        <f>SUM(G5:G26)</f>
        <v>1648</v>
      </c>
      <c r="H27" s="291" t="s">
        <v>80</v>
      </c>
      <c r="I27" s="291"/>
      <c r="J27" s="291"/>
      <c r="K27" s="115">
        <f>SUM(K5:K26)</f>
        <v>1562</v>
      </c>
      <c r="L27" s="113">
        <f>SUM(L5:L26)</f>
        <v>26.033333333333331</v>
      </c>
      <c r="M27" s="114">
        <f>SUM(M5:M26)</f>
        <v>94.3</v>
      </c>
      <c r="N27" s="115">
        <f>SUM(N5:N26)</f>
        <v>22</v>
      </c>
      <c r="O27" s="113"/>
      <c r="P27" s="114"/>
      <c r="Q27" s="114">
        <v>0</v>
      </c>
      <c r="R27" s="114"/>
      <c r="S27" s="114"/>
    </row>
    <row r="28" spans="2:19" ht="15.95" customHeight="1">
      <c r="B28" s="51"/>
      <c r="C28" s="51"/>
      <c r="D28" s="51"/>
      <c r="E28" s="51"/>
      <c r="F28" s="38"/>
      <c r="G28" s="38"/>
      <c r="H28" s="38"/>
      <c r="I28" s="38"/>
      <c r="J28" s="38"/>
      <c r="K28" s="38"/>
      <c r="L28" s="38"/>
      <c r="M28" s="38"/>
      <c r="N28" s="38"/>
    </row>
    <row r="29" spans="2:19" ht="18.75" customHeight="1">
      <c r="B29" s="292" t="s">
        <v>96</v>
      </c>
      <c r="C29" s="292"/>
      <c r="D29" s="292"/>
      <c r="E29" s="292"/>
      <c r="F29" s="51"/>
      <c r="G29" s="51"/>
      <c r="H29" s="51"/>
      <c r="I29" s="51"/>
      <c r="J29" s="51"/>
      <c r="K29" s="51"/>
      <c r="L29" s="51"/>
      <c r="M29" s="51"/>
      <c r="N29" s="51"/>
    </row>
    <row r="30" spans="2:19" ht="18.75" customHeight="1">
      <c r="B30" s="130" t="s">
        <v>97</v>
      </c>
      <c r="C30" s="130" t="s">
        <v>98</v>
      </c>
      <c r="D30" s="130" t="s">
        <v>99</v>
      </c>
      <c r="E30" s="130" t="s">
        <v>100</v>
      </c>
      <c r="F30" s="51"/>
      <c r="G30" s="53"/>
      <c r="H30" s="53"/>
      <c r="I30" s="51"/>
      <c r="J30" s="51"/>
      <c r="K30" s="51"/>
      <c r="L30" s="51"/>
      <c r="M30" s="51"/>
      <c r="N30" s="51"/>
    </row>
    <row r="31" spans="2:19" ht="18.75" customHeight="1">
      <c r="B31" s="119" t="s">
        <v>101</v>
      </c>
      <c r="C31" s="118" t="s">
        <v>102</v>
      </c>
      <c r="D31" s="119" t="s">
        <v>103</v>
      </c>
      <c r="E31" s="120">
        <f>'Desl. Base Caxias do Sul'!E19</f>
        <v>50.55</v>
      </c>
      <c r="F31" s="51"/>
      <c r="G31" s="54"/>
      <c r="H31" s="54"/>
      <c r="I31" s="51"/>
      <c r="J31" s="51"/>
      <c r="K31" s="52"/>
      <c r="L31" s="52"/>
    </row>
    <row r="32" spans="2:19" ht="18.75" customHeight="1">
      <c r="B32" s="123" t="s">
        <v>104</v>
      </c>
      <c r="C32" s="124" t="s">
        <v>102</v>
      </c>
      <c r="D32" s="123" t="s">
        <v>105</v>
      </c>
      <c r="E32" s="125">
        <f>'Desl. Base Caxias do Sul'!E20</f>
        <v>6.95</v>
      </c>
      <c r="F32" s="51"/>
      <c r="G32" s="54"/>
      <c r="H32" s="54"/>
      <c r="I32" s="51"/>
      <c r="J32" s="51"/>
      <c r="K32" s="52"/>
      <c r="L32" s="52"/>
    </row>
    <row r="33" spans="2:12" ht="47.25" customHeight="1">
      <c r="B33" s="284" t="s">
        <v>106</v>
      </c>
      <c r="C33" s="284"/>
      <c r="D33" s="284"/>
      <c r="E33" s="284"/>
      <c r="F33" s="122"/>
      <c r="G33" s="122"/>
      <c r="H33" s="122"/>
      <c r="I33" s="122"/>
      <c r="J33" s="122"/>
      <c r="K33" s="122"/>
      <c r="L33" s="52"/>
    </row>
    <row r="34" spans="2:12" ht="18.75" customHeight="1">
      <c r="B34" s="74"/>
      <c r="C34" s="74"/>
      <c r="D34" s="74"/>
      <c r="E34" s="74"/>
      <c r="F34" s="122"/>
      <c r="G34" s="122"/>
      <c r="H34" s="122"/>
      <c r="I34" s="122"/>
      <c r="J34" s="122"/>
      <c r="K34" s="122"/>
      <c r="L34" s="52"/>
    </row>
    <row r="35" spans="2:12" ht="15.95" customHeight="1">
      <c r="B35" s="292" t="s">
        <v>107</v>
      </c>
      <c r="C35" s="292"/>
      <c r="D35" s="51"/>
      <c r="E35" s="51"/>
      <c r="F35" s="51"/>
      <c r="G35" s="51"/>
      <c r="H35" s="51"/>
      <c r="I35" s="51"/>
      <c r="J35" s="51"/>
      <c r="K35" s="51"/>
      <c r="L35" s="51"/>
    </row>
    <row r="36" spans="2:12" ht="15.95" customHeight="1">
      <c r="B36" s="121" t="s">
        <v>103</v>
      </c>
      <c r="C36" s="133">
        <f>E31*L27</f>
        <v>1315.9849999999999</v>
      </c>
      <c r="D36" s="51"/>
      <c r="E36" s="51"/>
      <c r="F36" s="51"/>
      <c r="G36" s="51"/>
      <c r="H36" s="51"/>
      <c r="I36" s="51"/>
      <c r="J36" s="51"/>
    </row>
    <row r="37" spans="2:12" ht="15.95" customHeight="1">
      <c r="B37" s="119" t="s">
        <v>105</v>
      </c>
      <c r="C37" s="120">
        <f>E32*('Base Novo Hamburgo'!N29/12)</f>
        <v>500.34208333333339</v>
      </c>
      <c r="D37" s="51"/>
      <c r="E37" s="51"/>
      <c r="F37" s="51"/>
      <c r="G37" s="51"/>
      <c r="H37" s="51"/>
      <c r="I37" s="51"/>
      <c r="J37" s="51"/>
    </row>
    <row r="38" spans="2:12" ht="15.95" customHeight="1">
      <c r="B38" s="128" t="s">
        <v>22</v>
      </c>
      <c r="C38" s="127">
        <f>C36+C37</f>
        <v>1816.3270833333333</v>
      </c>
      <c r="D38" s="51"/>
      <c r="E38" s="51"/>
      <c r="F38" s="51"/>
      <c r="G38" s="51"/>
      <c r="H38" s="51"/>
      <c r="I38" s="38"/>
      <c r="J38" s="38"/>
    </row>
    <row r="39" spans="2:12" ht="15.95" customHeight="1">
      <c r="B39" s="57"/>
      <c r="C39" s="57"/>
      <c r="D39" s="51"/>
      <c r="H39" s="38"/>
      <c r="I39" s="38"/>
    </row>
    <row r="40" spans="2:12" ht="15.95" customHeight="1">
      <c r="B40" s="287" t="s">
        <v>108</v>
      </c>
      <c r="C40" s="287"/>
      <c r="D40" s="51"/>
      <c r="H40" s="38"/>
      <c r="I40" s="38"/>
    </row>
    <row r="41" spans="2:12" ht="15.95" customHeight="1">
      <c r="B41" s="130" t="s">
        <v>100</v>
      </c>
      <c r="C41" s="129">
        <f>SUM(M5:M26)</f>
        <v>94.3</v>
      </c>
      <c r="I41" s="51"/>
    </row>
    <row r="42" spans="2:12">
      <c r="B42" s="38"/>
      <c r="C42" s="38"/>
      <c r="D42" s="38"/>
    </row>
    <row r="43" spans="2:12">
      <c r="B43" s="131" t="s">
        <v>257</v>
      </c>
      <c r="C43" s="132"/>
      <c r="D43" s="38"/>
    </row>
    <row r="44" spans="2:12">
      <c r="B44" s="54"/>
      <c r="C44" s="51"/>
      <c r="D44" s="51"/>
    </row>
    <row r="45" spans="2:12">
      <c r="B45" s="54"/>
      <c r="C45" s="51"/>
      <c r="D45" s="51"/>
    </row>
    <row r="46" spans="2:12">
      <c r="B46" s="57"/>
      <c r="C46" s="51"/>
      <c r="D46" s="51"/>
    </row>
    <row r="47" spans="2:12">
      <c r="B47" s="51"/>
      <c r="C47" s="51"/>
      <c r="D47" s="54"/>
    </row>
    <row r="48" spans="2:12">
      <c r="B48" s="51"/>
      <c r="C48" s="51"/>
      <c r="D48" s="54"/>
    </row>
    <row r="49" spans="2:4">
      <c r="B49" s="57"/>
      <c r="C49" s="51"/>
      <c r="D49" s="63"/>
    </row>
    <row r="50" spans="2:4">
      <c r="B50" s="38"/>
      <c r="C50" s="38"/>
      <c r="D50" s="38"/>
    </row>
    <row r="51" spans="2:4">
      <c r="B51" s="62"/>
      <c r="C51" s="38"/>
      <c r="D51" s="38"/>
    </row>
    <row r="52" spans="2:4">
      <c r="B52" s="54"/>
      <c r="C52" s="51"/>
      <c r="D52" s="51"/>
    </row>
    <row r="53" spans="2:4">
      <c r="B53" s="57"/>
      <c r="C53" s="51"/>
      <c r="D53" s="51"/>
    </row>
    <row r="54" spans="2:4">
      <c r="B54" s="51"/>
      <c r="C54" s="51"/>
      <c r="D54" s="54"/>
    </row>
    <row r="55" spans="2:4">
      <c r="B55" s="51"/>
      <c r="C55" s="51"/>
      <c r="D55" s="54"/>
    </row>
    <row r="56" spans="2:4">
      <c r="B56" s="57"/>
      <c r="C56" s="51"/>
      <c r="D56" s="63"/>
    </row>
    <row r="57" spans="2:4">
      <c r="B57" s="38"/>
      <c r="C57" s="38"/>
      <c r="D57" s="38"/>
    </row>
    <row r="58" spans="2:4">
      <c r="B58" s="62"/>
      <c r="C58" s="38"/>
      <c r="D58" s="38"/>
    </row>
    <row r="59" spans="2:4">
      <c r="B59" s="54"/>
      <c r="C59" s="51"/>
      <c r="D59" s="51"/>
    </row>
    <row r="60" spans="2:4">
      <c r="B60" s="57"/>
      <c r="C60" s="51"/>
      <c r="D60" s="51"/>
    </row>
    <row r="61" spans="2:4">
      <c r="B61" s="51"/>
      <c r="C61" s="51"/>
      <c r="D61" s="54"/>
    </row>
    <row r="62" spans="2:4">
      <c r="B62" s="51"/>
      <c r="C62" s="51"/>
      <c r="D62" s="54"/>
    </row>
    <row r="63" spans="2:4">
      <c r="B63" s="51"/>
      <c r="C63" s="51"/>
      <c r="D63" s="54"/>
    </row>
    <row r="64" spans="2:4">
      <c r="B64" s="57"/>
      <c r="C64" s="51"/>
      <c r="D64" s="63"/>
    </row>
  </sheetData>
  <mergeCells count="116">
    <mergeCell ref="M21:M22"/>
    <mergeCell ref="N21:N22"/>
    <mergeCell ref="B24:B25"/>
    <mergeCell ref="D24:D25"/>
    <mergeCell ref="E24:E25"/>
    <mergeCell ref="F24:F25"/>
    <mergeCell ref="G24:G25"/>
    <mergeCell ref="H24:H25"/>
    <mergeCell ref="I24:I25"/>
    <mergeCell ref="J24:J25"/>
    <mergeCell ref="K24:K25"/>
    <mergeCell ref="L24:L25"/>
    <mergeCell ref="M24:M25"/>
    <mergeCell ref="N24:N25"/>
    <mergeCell ref="H21:H22"/>
    <mergeCell ref="I21:I22"/>
    <mergeCell ref="J21:J22"/>
    <mergeCell ref="K21:K22"/>
    <mergeCell ref="L21:L22"/>
    <mergeCell ref="B21:B22"/>
    <mergeCell ref="L17:L18"/>
    <mergeCell ref="M17:M18"/>
    <mergeCell ref="N17:N18"/>
    <mergeCell ref="H15:H16"/>
    <mergeCell ref="I15:I16"/>
    <mergeCell ref="J15:J16"/>
    <mergeCell ref="K15:K16"/>
    <mergeCell ref="L15:L16"/>
    <mergeCell ref="B15:B16"/>
    <mergeCell ref="D15:D16"/>
    <mergeCell ref="E15:E16"/>
    <mergeCell ref="F15:F16"/>
    <mergeCell ref="G15:G16"/>
    <mergeCell ref="B17:B18"/>
    <mergeCell ref="D17:D18"/>
    <mergeCell ref="E17:E18"/>
    <mergeCell ref="F17:F18"/>
    <mergeCell ref="G17:G18"/>
    <mergeCell ref="H17:H18"/>
    <mergeCell ref="I17:I18"/>
    <mergeCell ref="J17:J18"/>
    <mergeCell ref="K17:K18"/>
    <mergeCell ref="J11:J12"/>
    <mergeCell ref="K11:K12"/>
    <mergeCell ref="L11:L12"/>
    <mergeCell ref="B11:B12"/>
    <mergeCell ref="D11:D12"/>
    <mergeCell ref="E11:E12"/>
    <mergeCell ref="F11:F12"/>
    <mergeCell ref="B13:B14"/>
    <mergeCell ref="D13:D14"/>
    <mergeCell ref="E13:E14"/>
    <mergeCell ref="F13:F14"/>
    <mergeCell ref="G13:G14"/>
    <mergeCell ref="H13:H14"/>
    <mergeCell ref="I13:I14"/>
    <mergeCell ref="J13:J14"/>
    <mergeCell ref="L13:L14"/>
    <mergeCell ref="B29:E29"/>
    <mergeCell ref="B33:E33"/>
    <mergeCell ref="B35:C35"/>
    <mergeCell ref="B40:C40"/>
    <mergeCell ref="B27:F27"/>
    <mergeCell ref="F9:F10"/>
    <mergeCell ref="G9:G10"/>
    <mergeCell ref="B9:B10"/>
    <mergeCell ref="D9:D10"/>
    <mergeCell ref="E9:E10"/>
    <mergeCell ref="G11:G12"/>
    <mergeCell ref="E21:E22"/>
    <mergeCell ref="F21:F22"/>
    <mergeCell ref="G21:G22"/>
    <mergeCell ref="B19:B20"/>
    <mergeCell ref="D19:D20"/>
    <mergeCell ref="E19:E20"/>
    <mergeCell ref="F19:F20"/>
    <mergeCell ref="G19:G20"/>
    <mergeCell ref="D21:D22"/>
    <mergeCell ref="H27:J27"/>
    <mergeCell ref="K9:K10"/>
    <mergeCell ref="L9:L10"/>
    <mergeCell ref="M9:M10"/>
    <mergeCell ref="N9:N10"/>
    <mergeCell ref="M13:M14"/>
    <mergeCell ref="N13:N14"/>
    <mergeCell ref="K13:K14"/>
    <mergeCell ref="M11:M12"/>
    <mergeCell ref="N11:N12"/>
    <mergeCell ref="H9:H10"/>
    <mergeCell ref="I9:I10"/>
    <mergeCell ref="J9:J10"/>
    <mergeCell ref="M15:M16"/>
    <mergeCell ref="N15:N16"/>
    <mergeCell ref="H19:H20"/>
    <mergeCell ref="I19:I20"/>
    <mergeCell ref="J19:J20"/>
    <mergeCell ref="K19:K20"/>
    <mergeCell ref="L19:L20"/>
    <mergeCell ref="M19:M20"/>
    <mergeCell ref="N19:N20"/>
    <mergeCell ref="H11:H12"/>
    <mergeCell ref="I11:I12"/>
    <mergeCell ref="B2:Q2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5:B6"/>
  </mergeCells>
  <printOptions horizontalCentered="1"/>
  <pageMargins left="0.78749999999999998" right="0.78749999999999998" top="0.15972222222222199" bottom="8.1944444444444403E-2" header="0.51180555555555496" footer="0.51180555555555496"/>
  <pageSetup paperSize="9" pageOrder="overThenDown" orientation="portrait" useFirstPageNumber="1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8C181-6A75-4358-A785-6B7D505C2A04}">
  <sheetPr>
    <tabColor theme="0"/>
  </sheetPr>
  <dimension ref="B1:F16"/>
  <sheetViews>
    <sheetView zoomScale="110" zoomScaleNormal="110" workbookViewId="0">
      <selection activeCell="D14" sqref="D14"/>
    </sheetView>
  </sheetViews>
  <sheetFormatPr defaultColWidth="10.125" defaultRowHeight="12.75"/>
  <cols>
    <col min="1" max="1" width="5" style="190" customWidth="1"/>
    <col min="2" max="2" width="33.625" style="190" customWidth="1"/>
    <col min="3" max="3" width="27.75" style="190" customWidth="1"/>
    <col min="4" max="4" width="15" style="190" customWidth="1"/>
    <col min="5" max="5" width="7.5" style="190" customWidth="1"/>
    <col min="6" max="16384" width="10.125" style="190"/>
  </cols>
  <sheetData>
    <row r="1" spans="2:6" ht="15" customHeight="1"/>
    <row r="2" spans="2:6" ht="15" customHeight="1">
      <c r="C2" s="220" t="s">
        <v>261</v>
      </c>
    </row>
    <row r="3" spans="2:6" ht="15" customHeight="1">
      <c r="B3" s="192" t="s">
        <v>309</v>
      </c>
      <c r="C3" s="220" t="s">
        <v>310</v>
      </c>
    </row>
    <row r="4" spans="2:6" ht="15" customHeight="1">
      <c r="B4" s="192" t="s">
        <v>311</v>
      </c>
      <c r="C4" s="193" t="s">
        <v>312</v>
      </c>
    </row>
    <row r="5" spans="2:6" ht="15" customHeight="1">
      <c r="B5" s="192" t="s">
        <v>266</v>
      </c>
      <c r="C5" s="193">
        <v>45200</v>
      </c>
    </row>
    <row r="6" spans="2:6" ht="15" customHeight="1">
      <c r="B6" s="192" t="s">
        <v>313</v>
      </c>
      <c r="C6" s="194">
        <v>56.25</v>
      </c>
    </row>
    <row r="7" spans="2:6">
      <c r="B7" s="221"/>
      <c r="C7" s="222"/>
    </row>
    <row r="8" spans="2:6" ht="27.75" customHeight="1">
      <c r="B8" s="197" t="s">
        <v>314</v>
      </c>
      <c r="C8" s="223" t="s">
        <v>315</v>
      </c>
    </row>
    <row r="9" spans="2:6" ht="15" customHeight="1">
      <c r="B9" s="192" t="s">
        <v>271</v>
      </c>
      <c r="C9" s="198">
        <v>0.83340000000000003</v>
      </c>
    </row>
    <row r="10" spans="2:6" ht="15" customHeight="1">
      <c r="B10" s="192" t="s">
        <v>273</v>
      </c>
      <c r="C10" s="198">
        <v>1.1276999999999999</v>
      </c>
    </row>
    <row r="11" spans="2:6" ht="14.1" customHeight="1">
      <c r="B11" s="221"/>
      <c r="C11" s="221"/>
    </row>
    <row r="12" spans="2:6" ht="15" customHeight="1">
      <c r="B12" s="199" t="s">
        <v>316</v>
      </c>
      <c r="C12" s="200"/>
    </row>
    <row r="13" spans="2:6" ht="15" customHeight="1">
      <c r="B13" s="224" t="s">
        <v>317</v>
      </c>
      <c r="C13" s="225">
        <f>C6*(1+C9)</f>
        <v>103.12875000000001</v>
      </c>
      <c r="D13" s="226"/>
      <c r="F13" s="227"/>
    </row>
    <row r="14" spans="2:6" ht="15" customHeight="1">
      <c r="B14" s="224" t="s">
        <v>318</v>
      </c>
      <c r="C14" s="225">
        <f>C6*(1+C10)</f>
        <v>119.68312499999999</v>
      </c>
      <c r="D14" s="226"/>
      <c r="F14" s="227"/>
    </row>
    <row r="16" spans="2:6" ht="45" customHeight="1">
      <c r="B16" s="305" t="s">
        <v>319</v>
      </c>
      <c r="C16" s="305"/>
    </row>
  </sheetData>
  <mergeCells count="1">
    <mergeCell ref="B16:C16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ECD9A-321B-4456-BE7F-51140D889E5B}">
  <sheetPr>
    <tabColor rgb="FFFFFFFF"/>
  </sheetPr>
  <dimension ref="B1:K20"/>
  <sheetViews>
    <sheetView zoomScale="110" zoomScaleNormal="110" workbookViewId="0">
      <selection activeCell="G16" sqref="G16"/>
    </sheetView>
  </sheetViews>
  <sheetFormatPr defaultColWidth="8.125" defaultRowHeight="12.75"/>
  <cols>
    <col min="1" max="1" width="5" style="204" customWidth="1"/>
    <col min="2" max="2" width="2.875" style="204" customWidth="1"/>
    <col min="3" max="3" width="11.75" style="204" customWidth="1"/>
    <col min="4" max="4" width="57.75" style="204" customWidth="1"/>
    <col min="5" max="5" width="28.875" style="204" customWidth="1"/>
    <col min="6" max="6" width="9.625" style="204" customWidth="1"/>
    <col min="7" max="7" width="13.25" style="204" customWidth="1"/>
    <col min="8" max="8" width="11.5" style="204" customWidth="1"/>
    <col min="9" max="9" width="13.5" style="204" customWidth="1"/>
    <col min="10" max="1026" width="8.25" style="204" customWidth="1"/>
    <col min="1027" max="16384" width="8.125" style="204"/>
  </cols>
  <sheetData>
    <row r="1" spans="2:11" ht="15" customHeight="1"/>
    <row r="2" spans="2:11" ht="24.75" customHeight="1">
      <c r="B2" s="306" t="s">
        <v>320</v>
      </c>
      <c r="C2" s="306"/>
      <c r="D2" s="306"/>
      <c r="E2" s="306"/>
      <c r="F2" s="306"/>
      <c r="G2" s="306"/>
      <c r="H2" s="306"/>
      <c r="I2" s="306"/>
    </row>
    <row r="3" spans="2:11" ht="20.100000000000001" customHeight="1"/>
    <row r="4" spans="2:11" ht="16.5" customHeight="1">
      <c r="B4" s="307" t="s">
        <v>321</v>
      </c>
      <c r="C4" s="307"/>
      <c r="D4" s="307"/>
      <c r="E4" s="307"/>
      <c r="F4" s="307"/>
      <c r="G4" s="307"/>
      <c r="H4" s="307"/>
      <c r="I4" s="307"/>
    </row>
    <row r="5" spans="2:11" ht="16.5" customHeight="1">
      <c r="B5" s="308" t="s">
        <v>111</v>
      </c>
      <c r="C5" s="308"/>
      <c r="D5" s="309">
        <v>91677</v>
      </c>
      <c r="E5" s="309"/>
      <c r="F5" s="309"/>
      <c r="G5" s="309"/>
      <c r="H5" s="309"/>
      <c r="I5" s="309"/>
    </row>
    <row r="6" spans="2:11" ht="16.5" customHeight="1">
      <c r="B6" s="308" t="s">
        <v>98</v>
      </c>
      <c r="C6" s="308"/>
      <c r="D6" s="309" t="s">
        <v>322</v>
      </c>
      <c r="E6" s="309"/>
      <c r="F6" s="309"/>
      <c r="G6" s="309"/>
      <c r="H6" s="309"/>
      <c r="I6" s="309"/>
    </row>
    <row r="7" spans="2:11" ht="16.5" customHeight="1">
      <c r="B7" s="308" t="s">
        <v>114</v>
      </c>
      <c r="C7" s="308"/>
      <c r="D7" s="312" t="s">
        <v>287</v>
      </c>
      <c r="E7" s="312"/>
      <c r="F7" s="312"/>
      <c r="G7" s="312"/>
      <c r="H7" s="312"/>
      <c r="I7" s="312"/>
    </row>
    <row r="8" spans="2:11" ht="16.5" customHeight="1">
      <c r="B8" s="308" t="s">
        <v>115</v>
      </c>
      <c r="C8" s="308"/>
      <c r="D8" s="309" t="s">
        <v>261</v>
      </c>
      <c r="E8" s="309"/>
      <c r="F8" s="309"/>
      <c r="G8" s="309"/>
      <c r="H8" s="309"/>
      <c r="I8" s="309"/>
    </row>
    <row r="9" spans="2:11" ht="16.5" customHeight="1">
      <c r="B9" s="308" t="s">
        <v>116</v>
      </c>
      <c r="C9" s="308"/>
      <c r="D9" s="309" t="s">
        <v>288</v>
      </c>
      <c r="E9" s="309"/>
      <c r="F9" s="309"/>
      <c r="G9" s="309"/>
      <c r="H9" s="309"/>
      <c r="I9" s="309"/>
    </row>
    <row r="10" spans="2:11" ht="16.5" customHeight="1">
      <c r="B10" s="308" t="s">
        <v>99</v>
      </c>
      <c r="C10" s="308"/>
      <c r="D10" s="309" t="s">
        <v>121</v>
      </c>
      <c r="E10" s="309"/>
      <c r="F10" s="309"/>
      <c r="G10" s="309"/>
      <c r="H10" s="309"/>
      <c r="I10" s="309"/>
    </row>
    <row r="11" spans="2:11" ht="23.25" customHeight="1">
      <c r="B11" s="310" t="s">
        <v>118</v>
      </c>
      <c r="C11" s="310"/>
      <c r="D11" s="311">
        <f>SUM(I14:I19)</f>
        <v>125.45312499999999</v>
      </c>
      <c r="E11" s="311"/>
      <c r="F11" s="311"/>
      <c r="G11" s="311"/>
      <c r="H11" s="311"/>
      <c r="I11" s="311"/>
    </row>
    <row r="12" spans="2:11" ht="15.75" customHeight="1">
      <c r="B12" s="205"/>
      <c r="C12" s="205"/>
      <c r="D12" s="206"/>
      <c r="E12" s="206"/>
      <c r="F12" s="206"/>
      <c r="G12" s="206"/>
      <c r="H12" s="206"/>
      <c r="I12" s="206"/>
    </row>
    <row r="13" spans="2:11" ht="45">
      <c r="B13" s="207"/>
      <c r="C13" s="207" t="s">
        <v>134</v>
      </c>
      <c r="D13" s="207" t="s">
        <v>98</v>
      </c>
      <c r="E13" s="207" t="s">
        <v>116</v>
      </c>
      <c r="F13" s="207" t="s">
        <v>99</v>
      </c>
      <c r="G13" s="207" t="s">
        <v>289</v>
      </c>
      <c r="H13" s="207" t="s">
        <v>119</v>
      </c>
      <c r="I13" s="207" t="s">
        <v>118</v>
      </c>
    </row>
    <row r="14" spans="2:11" ht="20.100000000000001" customHeight="1">
      <c r="B14" s="208" t="s">
        <v>185</v>
      </c>
      <c r="C14" s="208" t="s">
        <v>323</v>
      </c>
      <c r="D14" s="208" t="s">
        <v>324</v>
      </c>
      <c r="E14" s="208" t="s">
        <v>325</v>
      </c>
      <c r="F14" s="208" t="s">
        <v>121</v>
      </c>
      <c r="G14" s="210">
        <v>3.84</v>
      </c>
      <c r="H14" s="210">
        <v>1</v>
      </c>
      <c r="I14" s="211">
        <f t="shared" ref="I14:I19" si="0">G14*H14</f>
        <v>3.84</v>
      </c>
      <c r="J14" s="212"/>
      <c r="K14" s="212"/>
    </row>
    <row r="15" spans="2:11" ht="20.100000000000001" customHeight="1">
      <c r="B15" s="208" t="s">
        <v>185</v>
      </c>
      <c r="C15" s="208" t="s">
        <v>326</v>
      </c>
      <c r="D15" s="208" t="s">
        <v>310</v>
      </c>
      <c r="E15" s="208" t="s">
        <v>293</v>
      </c>
      <c r="F15" s="208" t="s">
        <v>121</v>
      </c>
      <c r="G15" s="210">
        <f>'Custo Eng. Eletricista'!C14</f>
        <v>119.68312499999999</v>
      </c>
      <c r="H15" s="210">
        <v>1</v>
      </c>
      <c r="I15" s="211">
        <f t="shared" si="0"/>
        <v>119.68312499999999</v>
      </c>
      <c r="J15" s="212"/>
      <c r="K15" s="212"/>
    </row>
    <row r="16" spans="2:11" ht="30" customHeight="1">
      <c r="B16" s="208" t="s">
        <v>185</v>
      </c>
      <c r="C16" s="208" t="s">
        <v>327</v>
      </c>
      <c r="D16" s="208" t="s">
        <v>298</v>
      </c>
      <c r="E16" s="208" t="s">
        <v>295</v>
      </c>
      <c r="F16" s="208" t="s">
        <v>121</v>
      </c>
      <c r="G16" s="210" t="s">
        <v>328</v>
      </c>
      <c r="H16" s="210">
        <v>1</v>
      </c>
      <c r="I16" s="211">
        <f t="shared" si="0"/>
        <v>1.1399999999999999</v>
      </c>
      <c r="J16" s="212"/>
      <c r="K16" s="212"/>
    </row>
    <row r="17" spans="2:11" ht="30" customHeight="1">
      <c r="B17" s="208" t="s">
        <v>185</v>
      </c>
      <c r="C17" s="208" t="s">
        <v>329</v>
      </c>
      <c r="D17" s="208" t="s">
        <v>299</v>
      </c>
      <c r="E17" s="208" t="s">
        <v>300</v>
      </c>
      <c r="F17" s="208" t="s">
        <v>121</v>
      </c>
      <c r="G17" s="210" t="s">
        <v>330</v>
      </c>
      <c r="H17" s="210">
        <v>1</v>
      </c>
      <c r="I17" s="211">
        <f t="shared" si="0"/>
        <v>7.0000000000000007E-2</v>
      </c>
      <c r="J17" s="212"/>
      <c r="K17" s="212"/>
    </row>
    <row r="18" spans="2:11" ht="30" customHeight="1">
      <c r="B18" s="208" t="s">
        <v>185</v>
      </c>
      <c r="C18" s="208" t="s">
        <v>331</v>
      </c>
      <c r="D18" s="208" t="s">
        <v>332</v>
      </c>
      <c r="E18" s="208" t="s">
        <v>302</v>
      </c>
      <c r="F18" s="208" t="s">
        <v>121</v>
      </c>
      <c r="G18" s="210" t="s">
        <v>333</v>
      </c>
      <c r="H18" s="210">
        <v>1</v>
      </c>
      <c r="I18" s="211">
        <f t="shared" si="0"/>
        <v>0.01</v>
      </c>
      <c r="J18" s="212"/>
      <c r="K18" s="212"/>
    </row>
    <row r="19" spans="2:11" ht="30" customHeight="1">
      <c r="B19" s="208" t="s">
        <v>185</v>
      </c>
      <c r="C19" s="208" t="s">
        <v>334</v>
      </c>
      <c r="D19" s="208" t="s">
        <v>335</v>
      </c>
      <c r="E19" s="208" t="s">
        <v>302</v>
      </c>
      <c r="F19" s="208" t="s">
        <v>121</v>
      </c>
      <c r="G19" s="210" t="s">
        <v>336</v>
      </c>
      <c r="H19" s="210">
        <v>1</v>
      </c>
      <c r="I19" s="211">
        <f t="shared" si="0"/>
        <v>0.71</v>
      </c>
      <c r="J19" s="212"/>
      <c r="K19" s="212"/>
    </row>
    <row r="20" spans="2:11" ht="20.100000000000001" customHeight="1"/>
  </sheetData>
  <mergeCells count="16">
    <mergeCell ref="B10:C10"/>
    <mergeCell ref="D10:I10"/>
    <mergeCell ref="B11:C11"/>
    <mergeCell ref="D11:I11"/>
    <mergeCell ref="B7:C7"/>
    <mergeCell ref="D7:I7"/>
    <mergeCell ref="B8:C8"/>
    <mergeCell ref="D8:I8"/>
    <mergeCell ref="B9:C9"/>
    <mergeCell ref="D9:I9"/>
    <mergeCell ref="B2:I2"/>
    <mergeCell ref="B4:I4"/>
    <mergeCell ref="B5:C5"/>
    <mergeCell ref="D5:I5"/>
    <mergeCell ref="B6:C6"/>
    <mergeCell ref="D6:I6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EE1BE7-826B-4621-9ED3-4701CE39B331}">
  <ds:schemaRefs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purl.org/dc/terms/"/>
    <ds:schemaRef ds:uri="http://purl.org/dc/elements/1.1/"/>
    <ds:schemaRef ds:uri="http://www.w3.org/XML/1998/namespace"/>
    <ds:schemaRef ds:uri="http://schemas.microsoft.com/office/2006/metadata/properties"/>
    <ds:schemaRef ds:uri="706c7f7c-e32b-4162-b9b5-46b4313c91a4"/>
    <ds:schemaRef ds:uri="http://schemas.microsoft.com/office/2006/documentManagement/types"/>
    <ds:schemaRef ds:uri="132d983b-bc52-4905-b3a2-4655d790e7be"/>
  </ds:schemaRefs>
</ds:datastoreItem>
</file>

<file path=customXml/itemProps2.xml><?xml version="1.0" encoding="utf-8"?>
<ds:datastoreItem xmlns:ds="http://schemas.openxmlformats.org/officeDocument/2006/customXml" ds:itemID="{F65E69C0-0646-4EE5-899C-3AF30DE2EA3D}"/>
</file>

<file path=customXml/itemProps3.xml><?xml version="1.0" encoding="utf-8"?>
<ds:datastoreItem xmlns:ds="http://schemas.openxmlformats.org/officeDocument/2006/customXml" ds:itemID="{6F3A8E04-5F1C-4EE6-81D6-803C5BC182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42</vt:i4>
      </vt:variant>
    </vt:vector>
  </HeadingPairs>
  <TitlesOfParts>
    <vt:vector size="57" baseType="lpstr">
      <vt:lpstr>Valor da Contratação</vt:lpstr>
      <vt:lpstr>Resumo</vt:lpstr>
      <vt:lpstr>Equipe Técnica</vt:lpstr>
      <vt:lpstr>Base Caxias do Sul</vt:lpstr>
      <vt:lpstr>Desl. Base Caxias do Sul</vt:lpstr>
      <vt:lpstr>Base Novo Hamburgo</vt:lpstr>
      <vt:lpstr>Desl. Base Novo Hamburgo</vt:lpstr>
      <vt:lpstr>Custo Eng. Eletricista</vt:lpstr>
      <vt:lpstr>Comp. Eng. Eletricista</vt:lpstr>
      <vt:lpstr>Custo Oficial de Manutenção</vt:lpstr>
      <vt:lpstr>Comp. Oficial de Manutenção</vt:lpstr>
      <vt:lpstr>Comp. Veículo</vt:lpstr>
      <vt:lpstr>Unidades</vt:lpstr>
      <vt:lpstr>BDI</vt:lpstr>
      <vt:lpstr>Divisão Custos ISSQN</vt:lpstr>
      <vt:lpstr>'Base Caxias do Sul'!_xlnm_Print_Area</vt:lpstr>
      <vt:lpstr>'Base Novo Hamburgo'!_xlnm_Print_Area</vt:lpstr>
      <vt:lpstr>'Desl. Base Caxias do Sul'!_xlnm_Print_Area</vt:lpstr>
      <vt:lpstr>'Desl. Base Novo Hamburgo'!_xlnm_Print_Area</vt:lpstr>
      <vt:lpstr>'Equipe Técnica'!_xlnm_Print_Area</vt:lpstr>
      <vt:lpstr>Unidades!_xlnm_Print_Area</vt:lpstr>
      <vt:lpstr>'Base Caxias do Sul'!_xlnm_Print_Area_0</vt:lpstr>
      <vt:lpstr>'Base Novo Hamburgo'!_xlnm_Print_Area_0</vt:lpstr>
      <vt:lpstr>'Desl. Base Caxias do Sul'!_xlnm_Print_Area_0</vt:lpstr>
      <vt:lpstr>'Desl. Base Novo Hamburgo'!_xlnm_Print_Area_0</vt:lpstr>
      <vt:lpstr>'Equipe Técnica'!_xlnm_Print_Area_0</vt:lpstr>
      <vt:lpstr>Unidades!_xlnm_Print_Area_0</vt:lpstr>
      <vt:lpstr>'Base Caxias do Sul'!Area_de_impressao</vt:lpstr>
      <vt:lpstr>'Base Novo Hamburgo'!Area_de_impressao</vt:lpstr>
      <vt:lpstr>BDI!Area_de_impressao</vt:lpstr>
      <vt:lpstr>'Desl. Base Caxias do Sul'!Area_de_impressao</vt:lpstr>
      <vt:lpstr>'Desl. Base Novo Hamburgo'!Area_de_impressao</vt:lpstr>
      <vt:lpstr>'Equipe Técnica'!Area_de_impressao</vt:lpstr>
      <vt:lpstr>Unidades!Area_de_impressao</vt:lpstr>
      <vt:lpstr>'Base Caxias do Sul'!Excel_BuiltIn_Print_Area</vt:lpstr>
      <vt:lpstr>'Base Novo Hamburgo'!Excel_BuiltIn_Print_Area</vt:lpstr>
      <vt:lpstr>Unidades!Excel_BuiltIn_Print_Area</vt:lpstr>
      <vt:lpstr>'Base Caxias do Sul'!Print_Area_0</vt:lpstr>
      <vt:lpstr>'Base Novo Hamburgo'!Print_Area_0</vt:lpstr>
      <vt:lpstr>'Desl. Base Caxias do Sul'!Print_Area_0</vt:lpstr>
      <vt:lpstr>'Desl. Base Novo Hamburgo'!Print_Area_0</vt:lpstr>
      <vt:lpstr>'Equipe Técnica'!Print_Area_0</vt:lpstr>
      <vt:lpstr>Unidades!Print_Area_0</vt:lpstr>
      <vt:lpstr>'Base Caxias do Sul'!Print_Area_0_0</vt:lpstr>
      <vt:lpstr>'Base Novo Hamburgo'!Print_Area_0_0</vt:lpstr>
      <vt:lpstr>'Desl. Base Caxias do Sul'!Print_Area_0_0</vt:lpstr>
      <vt:lpstr>'Desl. Base Novo Hamburgo'!Print_Area_0_0</vt:lpstr>
      <vt:lpstr>'Equipe Técnica'!Print_Area_0_0</vt:lpstr>
      <vt:lpstr>Unidades!Print_Area_0_0</vt:lpstr>
      <vt:lpstr>'Base Caxias do Sul'!Print_Area_0_0_0</vt:lpstr>
      <vt:lpstr>'Base Novo Hamburgo'!Print_Area_0_0_0</vt:lpstr>
      <vt:lpstr>'Desl. Base Caxias do Sul'!Print_Area_0_0_0</vt:lpstr>
      <vt:lpstr>'Desl. Base Novo Hamburgo'!Print_Area_0_0_0</vt:lpstr>
      <vt:lpstr>'Base Caxias do Sul'!Print_Area_0_0_0_0</vt:lpstr>
      <vt:lpstr>'Base Novo Hamburgo'!Print_Area_0_0_0_0</vt:lpstr>
      <vt:lpstr>'Desl. Base Caxias do Sul'!Print_Area_0_0_0_0</vt:lpstr>
      <vt:lpstr>'Desl. Base Novo Hamburgo'!Print_Area_0_0_0_0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cp:keywords/>
  <dc:description/>
  <cp:lastModifiedBy>RODRIGO SANTOS</cp:lastModifiedBy>
  <cp:revision>35</cp:revision>
  <dcterms:created xsi:type="dcterms:W3CDTF">2022-02-01T12:05:24Z</dcterms:created>
  <dcterms:modified xsi:type="dcterms:W3CDTF">2023-12-07T12:42:53Z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0x010100371AF4B6DB407844954F4A0779E09E62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ediaServiceImageTags">
    <vt:lpwstr/>
  </property>
</Properties>
</file>